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October 2020" sheetId="1" r:id="rId1"/>
  </sheets>
  <definedNames>
    <definedName name="_xlnm._FilterDatabase" localSheetId="0" hidden="1">'October 2020'!$A$1:$H$2763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F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C2764" i="1"/>
  <c r="G2764" i="1"/>
</calcChain>
</file>

<file path=xl/sharedStrings.xml><?xml version="1.0" encoding="utf-8"?>
<sst xmlns="http://schemas.openxmlformats.org/spreadsheetml/2006/main" count="466" uniqueCount="365">
  <si>
    <t>TEXAS LEGAL PROTECTION PLAN INC</t>
  </si>
  <si>
    <t>TEXAS CNTY &amp; DIST RETIREMENT SYS</t>
  </si>
  <si>
    <t>TEXAS ATTY.GENERAL'S OFFICE</t>
  </si>
  <si>
    <t>TOTAL ADMINISTRATIVE SERVICES CORPORATION</t>
  </si>
  <si>
    <t>TAC HEALTH BENEFITS POOL</t>
  </si>
  <si>
    <t>PHI AIR MEDICAL  LLC</t>
  </si>
  <si>
    <t>GERALD FLORES OLIVO</t>
  </si>
  <si>
    <t>IRS-PAYROLL TAXES</t>
  </si>
  <si>
    <t>GUARDIAN</t>
  </si>
  <si>
    <t>CPI QUALIFIED PLAN CONSULTANTS  INC.</t>
  </si>
  <si>
    <t>COLONIAL LIFE &amp; ACCIDENT INS. CO.</t>
  </si>
  <si>
    <t>BASTROP COUNTY ADULT PROBATION</t>
  </si>
  <si>
    <t>AmWINS Group Benefits  Inc.</t>
  </si>
  <si>
    <t>ALLSTATE-AMERICAN HERITAGE LIFE INS CO</t>
  </si>
  <si>
    <t>WATCH GUARD VIDEO</t>
  </si>
  <si>
    <t>VOTEC CORPORATION</t>
  </si>
  <si>
    <t>TEXAS ASSOCIATION OF COUNTIES</t>
  </si>
  <si>
    <t>STAPLES  INC.</t>
  </si>
  <si>
    <t>ASCENSION SETON</t>
  </si>
  <si>
    <t>McKESSON MEDICAL-SURGIVAL GOVERNMENT SOLUTIONS LLC</t>
  </si>
  <si>
    <t>LANGFORD COMMUNITY MGMT INC</t>
  </si>
  <si>
    <t>CITIBANK (SOUTH DAKOTA)N.A./THE HOME DEPOT</t>
  </si>
  <si>
    <t>GULF COAST PAPER CO. INC.</t>
  </si>
  <si>
    <t>DIAMOND BUSINESS SERVICES  INC.</t>
  </si>
  <si>
    <t>DESMAR WALKES  MD  PA</t>
  </si>
  <si>
    <t>CHASCO CONSTRUCTORS LTD LLP</t>
  </si>
  <si>
    <t>CDW GOVERNMENT INC</t>
  </si>
  <si>
    <t>BLUEBONNET ELECTRIC COOPERATIVE  INC.</t>
  </si>
  <si>
    <t>DANIEL L HEPKER</t>
  </si>
  <si>
    <t>EDUARDO BARRIENTOS</t>
  </si>
  <si>
    <t>AT&amp;T MOBILITY</t>
  </si>
  <si>
    <t>AQUA BEVERAGE COMPANY/OZARKA</t>
  </si>
  <si>
    <t>AMAZON CAPITAL SERVICES INC</t>
  </si>
  <si>
    <t>ZOETIS US LLC</t>
  </si>
  <si>
    <t>YOLANDA WHEATON</t>
  </si>
  <si>
    <t>MAO PHARMACY INC</t>
  </si>
  <si>
    <t>LEYLA YATIM-ALIN</t>
  </si>
  <si>
    <t>WEI-ANN LIN (REIMBURSEMENTS ONLY)</t>
  </si>
  <si>
    <t>WASTE MANAGEMENT OF TEXAS  INC</t>
  </si>
  <si>
    <t>WASTE CONNECTIONS LONE STAR. INC.</t>
  </si>
  <si>
    <t>WALLER COUNTY ASPHALT INC</t>
  </si>
  <si>
    <t>VULCAN  INC.</t>
  </si>
  <si>
    <t>VTX COMMUNICATIONS  LLC</t>
  </si>
  <si>
    <t>US BANK NA</t>
  </si>
  <si>
    <t>TEXAS DEPARTMENT OF STATE HEALTH SERVICES</t>
  </si>
  <si>
    <t>HUGO RODRIGUEZ</t>
  </si>
  <si>
    <t>VETERINARY ANESTHESIA SYSTEMS INC</t>
  </si>
  <si>
    <t>U S ANESTHESIA PARTNERS OF TEXAS PA</t>
  </si>
  <si>
    <t>SETON FAMILY OF HOSPITALS</t>
  </si>
  <si>
    <t>UNITED REFRIGERATION INC</t>
  </si>
  <si>
    <t>COUFAL-PRATER EQUIPMENT  LLC</t>
  </si>
  <si>
    <t>ULINE  INC.</t>
  </si>
  <si>
    <t>TYLER TECHNOLOGIES INC</t>
  </si>
  <si>
    <t>TULL FARLEY</t>
  </si>
  <si>
    <t>SETON FAMILY OF DOCTORS</t>
  </si>
  <si>
    <t>KAUFFMAN TIRE</t>
  </si>
  <si>
    <t>TRAVIS COUNTY MEDICAL EXAMINER</t>
  </si>
  <si>
    <t>TRAVIS COUNTY CLERK</t>
  </si>
  <si>
    <t>TRACTOR SUPPLY CREDIT PLAN</t>
  </si>
  <si>
    <t>TELVA D KESLER</t>
  </si>
  <si>
    <t>TWE-ADVANCE/NEWHOUSE PARTNERSHIP</t>
  </si>
  <si>
    <t>TIM MAHONEY  ATTORNEY AT LAW  PC</t>
  </si>
  <si>
    <t>WEST PUBLISHING CORPORATION</t>
  </si>
  <si>
    <t>THE PRODUCT CENTER</t>
  </si>
  <si>
    <t>RICHARD NELSON MOORE</t>
  </si>
  <si>
    <t>SANDRA FAYE ROBINSON</t>
  </si>
  <si>
    <t>BUG MASTER EXTERMINATING SERVICES  LTD</t>
  </si>
  <si>
    <t>TEXAS STATE UNIVERSITY</t>
  </si>
  <si>
    <t>TEXAS PARKS &amp; WILDLIFE DEPARTMENT</t>
  </si>
  <si>
    <t>TEXAS ORTHOPEDICS SPORTS &amp;</t>
  </si>
  <si>
    <t>TEXAS ONCOLOGY</t>
  </si>
  <si>
    <t>TXFACT  LLC</t>
  </si>
  <si>
    <t>TEXAS DISPOSAL SYSTEMS  INC.</t>
  </si>
  <si>
    <t>103"</t>
  </si>
  <si>
    <t>TEXAS DEPT OF PUBLIC SAFETY</t>
  </si>
  <si>
    <t>TEXAS DEPT OF LICENSING &amp; REGULATION</t>
  </si>
  <si>
    <t>TEXAS CONFERENCE OF URBAN COUNTIES</t>
  </si>
  <si>
    <t>TEXAS COMMISSION ON ENVIRONMENTAL QUALITY</t>
  </si>
  <si>
    <t>TEXAS ASSOCIATES INSURORS AGENCY</t>
  </si>
  <si>
    <t>TEXAS ALCOHOLIC BEVERAGE COMMISSION</t>
  </si>
  <si>
    <t>TEXAS AGGREGATES  LLC</t>
  </si>
  <si>
    <t>TEXAN EYE  P.A.</t>
  </si>
  <si>
    <t>TEX-CON OIL CO</t>
  </si>
  <si>
    <t>JOHN J FIETSAM INC</t>
  </si>
  <si>
    <t>TERRILL L FLENNIKEN</t>
  </si>
  <si>
    <t>TEJAS ELEVATOR COMPANY</t>
  </si>
  <si>
    <t>TAVCO SERVICES INC</t>
  </si>
  <si>
    <t>TEXAS ASSOCIATION OF ASSESSING OFFICERS</t>
  </si>
  <si>
    <t>SUN COAST RESOURCES</t>
  </si>
  <si>
    <t>STEVEN A LONG</t>
  </si>
  <si>
    <t>STEVE GRANADO</t>
  </si>
  <si>
    <t>STERICYCLE  INC.</t>
  </si>
  <si>
    <t>STEPHEN M. HALL</t>
  </si>
  <si>
    <t>STEGER &amp; BIZZELL ENGINEERING  INC</t>
  </si>
  <si>
    <t>STATE OF TEXAS</t>
  </si>
  <si>
    <t>TX COMPTROLLER OF PUBLIC ACCOUNTS</t>
  </si>
  <si>
    <t>SPARKLETTS &amp; SIERRA SPRINGS</t>
  </si>
  <si>
    <t>SRIDHAR P REDDY MD PA</t>
  </si>
  <si>
    <t>SPEED FAB-CRETE CORPORATION</t>
  </si>
  <si>
    <t>SOUTHERN TIRE MART LLC</t>
  </si>
  <si>
    <t>SOE SOFTWARE INC</t>
  </si>
  <si>
    <t>SMITHVILLE VOLUNTEER FIRE DEPT</t>
  </si>
  <si>
    <t>SMITHVILLE FOOD PANTRY</t>
  </si>
  <si>
    <t>SMITHVILLE AUTO PARTS  INC</t>
  </si>
  <si>
    <t>SMITH STORES  INC.</t>
  </si>
  <si>
    <t>SKYLINE EQUIPMENT LLC</t>
  </si>
  <si>
    <t>SINGLETON ASSOCIATES  PA</t>
  </si>
  <si>
    <t>SIMPSON SEPTIC INCORPORATED</t>
  </si>
  <si>
    <t>SHRED-IT US HOLDCO  INC</t>
  </si>
  <si>
    <t>SHI GOVERNMENT SOLUTIONS INC.</t>
  </si>
  <si>
    <t>962 09/10/2020"</t>
  </si>
  <si>
    <t>SHARON HANCOCK</t>
  </si>
  <si>
    <t>SETON HEALTHCARE SPONSORED PROJECTS</t>
  </si>
  <si>
    <t>SERENITYSTAR INC</t>
  </si>
  <si>
    <t>SCOTT &amp; WHITE HOSPITAL - TAYLOR</t>
  </si>
  <si>
    <t>SCOTT &amp; WHITE CLINIC</t>
  </si>
  <si>
    <t>SAMMY LERMA III MD</t>
  </si>
  <si>
    <t>SAFELITE FULFILLMENT INC</t>
  </si>
  <si>
    <t>SAFARILAND LLC</t>
  </si>
  <si>
    <t>RYAN JOSEPH DALEY</t>
  </si>
  <si>
    <t>RUSH TRUCK CENTERS OF TEXAS  LP</t>
  </si>
  <si>
    <t>RUSH CHEVROLET LLC</t>
  </si>
  <si>
    <t>ROSE PIETSCH COUNTY CLERK</t>
  </si>
  <si>
    <t>ROBERT MADDEN INDUSTRIES LTD</t>
  </si>
  <si>
    <t>ROBERT E CANTU M.D. P.A.</t>
  </si>
  <si>
    <t>ROBERT CLIPPER</t>
  </si>
  <si>
    <t>ROADRUNNER RADIOLOGY EQUIP LLC</t>
  </si>
  <si>
    <t>RUNKLE ENTERPRISES</t>
  </si>
  <si>
    <t>CIT TECHNOLOGY FINANCE</t>
  </si>
  <si>
    <t>RICOH USA INC</t>
  </si>
  <si>
    <t>RIATA FORD</t>
  </si>
  <si>
    <t>RESERVE ACCOUNT</t>
  </si>
  <si>
    <t>PAULINE SPURLOCK</t>
  </si>
  <si>
    <t>REPUBLIC TRUCK SALES   PARTS  &amp; REPAIRS LLC</t>
  </si>
  <si>
    <t>NRG ENERGY INC</t>
  </si>
  <si>
    <t>RED WING BUSINESS ADVANTAGE ACCOUNT</t>
  </si>
  <si>
    <t>REBECCA STRNAD</t>
  </si>
  <si>
    <t>NESTLE WATERS N AMERICA INC</t>
  </si>
  <si>
    <t>MADTEX  INC.</t>
  </si>
  <si>
    <t>RAY ALLEN MFG.CO.INC.</t>
  </si>
  <si>
    <t>R.R. BRINK LOCKING SYSTEMS INC</t>
  </si>
  <si>
    <t>QUEST DIAGNOSTICS CLINICAL LABORATORIES</t>
  </si>
  <si>
    <t>PYE-BARKER FIRE &amp; SAFETY LLC</t>
  </si>
  <si>
    <t>PTS OF AMERICA  LLC</t>
  </si>
  <si>
    <t>181  09/14/2020"</t>
  </si>
  <si>
    <t>PROGRESSIVE - RESTITUTION ACCT</t>
  </si>
  <si>
    <t>POPE PRO ENTERPRISES INC</t>
  </si>
  <si>
    <t>JOHN DEERE FINANCIAL f.s.b.</t>
  </si>
  <si>
    <t>POST OAK HARDWARE  INC.</t>
  </si>
  <si>
    <t>PITNEY BOWES GLOBAL FINANCIAL SERVICES</t>
  </si>
  <si>
    <t>PB PROFESSIONAL SERVICES INC</t>
  </si>
  <si>
    <t>CLYDE HAYWOOD SR</t>
  </si>
  <si>
    <t>PHILLIP N. SLAUGHTER</t>
  </si>
  <si>
    <t>PHILIP R DUCLOUX</t>
  </si>
  <si>
    <t>PERDUE  BRANDON  FIELDER  COLLINS &amp; MOTT LLP</t>
  </si>
  <si>
    <t>PAUL GRANADO</t>
  </si>
  <si>
    <t>PATTERSON  VETERINARY SUPPLY INC</t>
  </si>
  <si>
    <t>JACOB  COX</t>
  </si>
  <si>
    <t>SL PARKER PARTNERSHIP LLC</t>
  </si>
  <si>
    <t>PAPER RETRIEVER OF TEXAS</t>
  </si>
  <si>
    <t>PAIGE TRACTORS INC</t>
  </si>
  <si>
    <t>P SQUARED EMULSION PLANTS  LLC</t>
  </si>
  <si>
    <t>ROGER C. OSBORN</t>
  </si>
  <si>
    <t>ON SITE SERVICES</t>
  </si>
  <si>
    <t>OMNIBASE SERVICES OF TEXAS LP</t>
  </si>
  <si>
    <t>OFFICE DEPOT</t>
  </si>
  <si>
    <t>O'REILLY AUTOMOTIVE  INC.</t>
  </si>
  <si>
    <t>NUECES FARM CENTER</t>
  </si>
  <si>
    <t>NEMO-Q INC</t>
  </si>
  <si>
    <t>NATIONAL FOOD GROUP INC</t>
  </si>
  <si>
    <t>NANCY MENDEZ</t>
  </si>
  <si>
    <t>NALCO COMPANY LLC</t>
  </si>
  <si>
    <t>EK&amp;R ENTERPRISES  INC</t>
  </si>
  <si>
    <t>MOUNTAIN WEST DERM-AUSTIN PLLC</t>
  </si>
  <si>
    <t>MOTOROLA SOLUTIONS  IN.C</t>
  </si>
  <si>
    <t>JULIE ANNE RICHARDS</t>
  </si>
  <si>
    <t>ARIEL KAITLIN DUFFIN</t>
  </si>
  <si>
    <t>JESSICA LEON-CIPRIANO</t>
  </si>
  <si>
    <t>ERICK RENE RODRIGUEZ</t>
  </si>
  <si>
    <t>BEATRICE MARY FLIPPO</t>
  </si>
  <si>
    <t>JEFFREY NEIL EWING</t>
  </si>
  <si>
    <t>JEFFREY SCOTT KUBICEK</t>
  </si>
  <si>
    <t>NOEMI ANDRADE POTTS</t>
  </si>
  <si>
    <t>MARTIN DAVID RAZ</t>
  </si>
  <si>
    <t>THERESA PSENCIK ZETKA</t>
  </si>
  <si>
    <t>CATHERINE G BILBREY</t>
  </si>
  <si>
    <t>CAROL ANN JOHNSTON</t>
  </si>
  <si>
    <t>ANDRE L BINGER</t>
  </si>
  <si>
    <t>BETHANY ANNE DIETRICH</t>
  </si>
  <si>
    <t>SUSAN MERINO CASTILLO</t>
  </si>
  <si>
    <t>JENNIFER L HOTZ</t>
  </si>
  <si>
    <t>DREW ALAN LEWIS</t>
  </si>
  <si>
    <t>MARINA CALDERON JAECKS</t>
  </si>
  <si>
    <t>CHARITTY NOEL ALEXANDER</t>
  </si>
  <si>
    <t>MIDTEX MATERIALS</t>
  </si>
  <si>
    <t>MICHELE FRITSCHE C.S.R.</t>
  </si>
  <si>
    <t>MEL HAMNER</t>
  </si>
  <si>
    <t>MINORITIES FOR EQUALITY IN EMPLOYMENT</t>
  </si>
  <si>
    <t>MEDIMPACT HEALTHCARE SYSTEMS INC</t>
  </si>
  <si>
    <t>McCREARY  VESELKA  BRAGG &amp; ALLEN P</t>
  </si>
  <si>
    <t>McCOY'S BUILDING SUPPLY CENTER</t>
  </si>
  <si>
    <t>MAUREEN S BURROWS MD MPH</t>
  </si>
  <si>
    <t>MATHESON TRI-GAS INC</t>
  </si>
  <si>
    <t>MARY BETH SCOTT</t>
  </si>
  <si>
    <t>MARK T. MALONE  M.D. P.A</t>
  </si>
  <si>
    <t>MARK MEUTH</t>
  </si>
  <si>
    <t>MARIA ANFOSSO</t>
  </si>
  <si>
    <t>VOID CHECK</t>
  </si>
  <si>
    <t>607"</t>
  </si>
  <si>
    <t>MARGARET HILL</t>
  </si>
  <si>
    <t>SCOTT BRYANT</t>
  </si>
  <si>
    <t>LONNIE LAWRENCE DAVIS JR</t>
  </si>
  <si>
    <t>LONE STAR CIRCLE OF CARE</t>
  </si>
  <si>
    <t>LEE CONSTRUCTION &amp; MAINTENANCE COMPANY</t>
  </si>
  <si>
    <t>LIQUID ENVIRONMENTAL SOLUTIONS</t>
  </si>
  <si>
    <t>LINDA HARMON-TAX ASSESSOR</t>
  </si>
  <si>
    <t>LEXISNEXIS RISK DATA MGMT INC</t>
  </si>
  <si>
    <t>AUSTIN LT  INC.</t>
  </si>
  <si>
    <t>LEE COUNTY WATER SUPPLY CORP</t>
  </si>
  <si>
    <t>LABATT INSTITUTIONAL SUPPLY CO</t>
  </si>
  <si>
    <t>THE LA GRANGE PARTS HOUSE INC</t>
  </si>
  <si>
    <t>LONGHORN INTERNATIONAL TRUCKS LTD</t>
  </si>
  <si>
    <t>KOETTER FIRE PROTECTION OF AUSTIN  LLC</t>
  </si>
  <si>
    <t>KENT BROUSSARD TOWER RENTAL INC</t>
  </si>
  <si>
    <t>KENNETH E. LIMUEL JR</t>
  </si>
  <si>
    <t>KAYCI SCHULTZ WATSON</t>
  </si>
  <si>
    <t>JUSTIN MATTHEW FOHN</t>
  </si>
  <si>
    <t>JUSTIN LOSOYA</t>
  </si>
  <si>
    <t>BILLY JOSHUA GILL</t>
  </si>
  <si>
    <t>JAMES MORGAN</t>
  </si>
  <si>
    <t>JENNIFER BURGAN-BATES</t>
  </si>
  <si>
    <t>JEFFREY GOGOLEWSKI</t>
  </si>
  <si>
    <t>JAMES O. BURKE</t>
  </si>
  <si>
    <t>IRON MOUNTAIN RECORDS MGMT INC</t>
  </si>
  <si>
    <t>INDIGENT HEALTHCARE SOLUTIONS</t>
  </si>
  <si>
    <t>337"</t>
  </si>
  <si>
    <t>IGNACIO GARCIA-MATEO</t>
  </si>
  <si>
    <t>HYDRAULIC HOUSE INC</t>
  </si>
  <si>
    <t>GREGORY LUCAS</t>
  </si>
  <si>
    <t>AMERICAS EQUINE WAREHOUSE  INC.</t>
  </si>
  <si>
    <t>AMERICAN YOUTH WORKS  INC.</t>
  </si>
  <si>
    <t>NORTHWEST CASCADE INC</t>
  </si>
  <si>
    <t>BD HOLT CO</t>
  </si>
  <si>
    <t>HODGSON G ECKEL</t>
  </si>
  <si>
    <t>BASCOM L HODGES JR</t>
  </si>
  <si>
    <t>HEARTLAND QUARRIES  LLC</t>
  </si>
  <si>
    <t>BLTI SERVICES</t>
  </si>
  <si>
    <t>DOUGLAS D. SPILLMAN</t>
  </si>
  <si>
    <t>HALFF ASSOCIATES</t>
  </si>
  <si>
    <t>H&amp;H OIL  L.P.</t>
  </si>
  <si>
    <t>GT DISTRIBUTORS  INC.</t>
  </si>
  <si>
    <t>GIPSON PENDERGRASS PEOPLE'S MORTUARY LLC</t>
  </si>
  <si>
    <t>GARMENTS TO GO  INC</t>
  </si>
  <si>
    <t>GARLAND T MURLEY</t>
  </si>
  <si>
    <t>GALLS PARENT HOLDINGS LLC</t>
  </si>
  <si>
    <t>EUGENE W BRIGGS JR</t>
  </si>
  <si>
    <t>AUSTIN TRUCK AND EQUIPMENT  LTD</t>
  </si>
  <si>
    <t>FRANKIN BANK</t>
  </si>
  <si>
    <t>FLORENCE BEHAVIN</t>
  </si>
  <si>
    <t>FLEETPRIDE</t>
  </si>
  <si>
    <t>FEDEX</t>
  </si>
  <si>
    <t>ERIN NICKEL</t>
  </si>
  <si>
    <t>ERGON ASPHALT &amp; EMULSIONS INC</t>
  </si>
  <si>
    <t>CITY OF ELGIN UTILITIES</t>
  </si>
  <si>
    <t>ELGIN FUNERAL HOME</t>
  </si>
  <si>
    <t>BLACKLANDS PUBLICATIONS INC</t>
  </si>
  <si>
    <t>COMMUNITY CUPBOARD</t>
  </si>
  <si>
    <t>ELECTION SYSTEMS &amp; SOFTWARE INC</t>
  </si>
  <si>
    <t>ELANCO US INC</t>
  </si>
  <si>
    <t>ECOLAB INC</t>
  </si>
  <si>
    <t>EASYVOTE SOLUTIONS LLC</t>
  </si>
  <si>
    <t>DAVID MCMULLEN</t>
  </si>
  <si>
    <t>DUNNE &amp; JUAREZ L.L.C.</t>
  </si>
  <si>
    <t>KRISTI ARRINGTON KALLINA</t>
  </si>
  <si>
    <t>DOUBLE TUFF TRUCK TARPS INC</t>
  </si>
  <si>
    <t>DOUBLE D INTERNATIONAL FOOD CO.  INC.</t>
  </si>
  <si>
    <t>DONNIE STARK</t>
  </si>
  <si>
    <t>DICKENS LOCKSMITH INC</t>
  </si>
  <si>
    <t>DENTRUST DENTAL TX PC</t>
  </si>
  <si>
    <t>DELL</t>
  </si>
  <si>
    <t>DEAN DAIRY CORPORATE  LLC</t>
  </si>
  <si>
    <t>DAVID M COLLINS</t>
  </si>
  <si>
    <t>DAVID B BROOKS</t>
  </si>
  <si>
    <t>DARLON J. SOJAK</t>
  </si>
  <si>
    <t>CRESSIDA EVELYN KWOLEK  Ph.D.</t>
  </si>
  <si>
    <t>BUTLER ANIMAL HEALTH HOLDING COMPANY  LLC</t>
  </si>
  <si>
    <t>COVERT CHEVROLET-OLDS</t>
  </si>
  <si>
    <t>COOPER EQUIPMENT CO.</t>
  </si>
  <si>
    <t>CONTECH ENGINEERED SOLUTIONS INC</t>
  </si>
  <si>
    <t>COMMUNITY COFFEE COMPANY LLC</t>
  </si>
  <si>
    <t>COLUMBUS EYE ASSOCIATES</t>
  </si>
  <si>
    <t>CML SECURITY  LLC</t>
  </si>
  <si>
    <t>CLINICAL PATHOLOGY LABORATORIES INC</t>
  </si>
  <si>
    <t>CLIFFORD POWER SYSTEMS INC</t>
  </si>
  <si>
    <t>CITY OF SMITHVILLE</t>
  </si>
  <si>
    <t>CITY OF BASTROP</t>
  </si>
  <si>
    <t>CINTAS CORPORATION</t>
  </si>
  <si>
    <t>CINTAS</t>
  </si>
  <si>
    <t>CHRISTINE FILES</t>
  </si>
  <si>
    <t>CHRIS MATT DILLON</t>
  </si>
  <si>
    <t>CHARLES W CARVER</t>
  </si>
  <si>
    <t>CENTRAL TEXAS AUTOPSY</t>
  </si>
  <si>
    <t>BEVERLY A LEIGHTON</t>
  </si>
  <si>
    <t>CENTERPOINT ENERGY</t>
  </si>
  <si>
    <t>CEN-TEX REGIONAL JUVENILE SERVICES</t>
  </si>
  <si>
    <t>CASA OF BASTROP COUNTY</t>
  </si>
  <si>
    <t>CAPITOL BEARING SERVICE OF AUSTIN  INC.</t>
  </si>
  <si>
    <t>CAPITAL AREA COUNCIL OF GOVERNMENTS</t>
  </si>
  <si>
    <t>LAW OFFICE OF BRYAN W. MCDANIEL  P.C.</t>
  </si>
  <si>
    <t>BREACHING TECHNOLOGIES. INC.</t>
  </si>
  <si>
    <t>BRAUNTEX MATERIALS INC</t>
  </si>
  <si>
    <t>BOYS &amp; GIRLS CLUBS OF THE AUSTIN AREA</t>
  </si>
  <si>
    <t>BLUEBONNET TRAILS MHMR</t>
  </si>
  <si>
    <t>BLUEBONNET AREA CRIME STOPPERS PROGRAM</t>
  </si>
  <si>
    <t>BLAS J. COY  JR.</t>
  </si>
  <si>
    <t>BIMBO FOODS INC</t>
  </si>
  <si>
    <t>BIG WRENCH ROAD SERVICE INC</t>
  </si>
  <si>
    <t>B C FOOD GROUP  LLC</t>
  </si>
  <si>
    <t>BENNY BOYD LOCKHART LLC</t>
  </si>
  <si>
    <t>BEN E KEITH CO.</t>
  </si>
  <si>
    <t>BELL COUNTY</t>
  </si>
  <si>
    <t>DAVID H OUTON</t>
  </si>
  <si>
    <t>BASTROP VETERINARY HOSPITAL  INC.</t>
  </si>
  <si>
    <t>BASTROP PROVIDENCE  LLC</t>
  </si>
  <si>
    <t>BASTROP MEDICAL CLINIC</t>
  </si>
  <si>
    <t>BASTROP COUNTY SOIL &amp; WATER CONSERVATION DISTRICT</t>
  </si>
  <si>
    <t>BASTROP COUNTY HISTORICAL SOCIETY</t>
  </si>
  <si>
    <t>BASTROP COUNTY CARES</t>
  </si>
  <si>
    <t>BASTROP COUNTY SHERIFF'S DEPT</t>
  </si>
  <si>
    <t>BASTROP COUNTY LONG TERM RECOVERY TEAM</t>
  </si>
  <si>
    <t>BASTROP BAIL BONDS</t>
  </si>
  <si>
    <t>MICHAEL OLDHAM TIRE INC</t>
  </si>
  <si>
    <t>JIM ATTRA INC</t>
  </si>
  <si>
    <t>AUSTIN REBUILDERS INC</t>
  </si>
  <si>
    <t>AUSTIN PLASTICS &amp; SUPPLY INC.</t>
  </si>
  <si>
    <t>BUTLER &amp; BURNS EAR NOSE &amp; THROAT ASSO</t>
  </si>
  <si>
    <t>GATEHOUSE MEDIA TEXAS HOLDINGS II  INC.</t>
  </si>
  <si>
    <t>AT&amp;T</t>
  </si>
  <si>
    <t>EXACTBYTE INC</t>
  </si>
  <si>
    <t>AQUA WATER SUPPLY CORPORATION</t>
  </si>
  <si>
    <t>C APPLEMAN ENT INC</t>
  </si>
  <si>
    <t>ANDERSON &amp; ANDERSON LAW FIRM PC</t>
  </si>
  <si>
    <t>AMG PRINTING &amp; MAILING  LLC</t>
  </si>
  <si>
    <t>AMERICAN FASTENERS  INC.</t>
  </si>
  <si>
    <t>TIMOTHY HALL</t>
  </si>
  <si>
    <t>ALEJANDRO RODRIGUEZ</t>
  </si>
  <si>
    <t>ALBERT NEAL PFEIFFER</t>
  </si>
  <si>
    <t>ALAMO  GROUP (TX)  INC</t>
  </si>
  <si>
    <t>DESIGNPD LLC</t>
  </si>
  <si>
    <t>ADAM DAKOTA ROWINS</t>
  </si>
  <si>
    <t>ABREO &amp; CARTER</t>
  </si>
  <si>
    <t>ABIGAIL CHAVEZ &amp; ZITA VASQUEZ</t>
  </si>
  <si>
    <t>ARNOLD OIL COMPANY OF AUSTIN LP</t>
  </si>
  <si>
    <t>A RIFKIN CO</t>
  </si>
  <si>
    <t>A PLUS BAIL BONDS</t>
  </si>
  <si>
    <t>973 MATERIALS  LLC</t>
  </si>
  <si>
    <t>CHRISTINA CANNON</t>
  </si>
  <si>
    <t>GL Description</t>
  </si>
  <si>
    <t>Invoice Payment</t>
  </si>
  <si>
    <t>Invoice Desc</t>
  </si>
  <si>
    <t>Invoice ID</t>
  </si>
  <si>
    <t>Check Date</t>
  </si>
  <si>
    <t>Check Amount</t>
  </si>
  <si>
    <t>Check #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</si>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</sst>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2" applyFont="1"/>
    <xf numFmtId="44" fontId="0" fillId="0" borderId="1" xfId="2" applyFont="1" applyBorder="1"/>
    <xf numFmtId="14" fontId="0" fillId="0" borderId="0" xfId="0" applyNumberFormat="1"/>
    <xf numFmtId="43" fontId="0" fillId="0" borderId="0" xfId="1" applyFont="1"/>
    <xf numFmtId="0" fontId="2" fillId="0" borderId="0" xfId="0" applyFont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5"/>
  <sheetViews>
    <sheetView tabSelected="1" workbookViewId="0">
      <pane ySplit="1" topLeftCell="A2" activePane="bottomLeft" state="frozen"/>
      <selection pane="bottomLeft"/>
    </sheetView>
  </sheetViews>
  <sheetFormatPr defaultColWidth="12.28515625" defaultRowHeight="15" x14ac:dyDescent="0.25"/>
  <cols>
    <col min="1" max="1" width="34.28515625" customWidth="1"/>
    <col min="2" max="2" width="10" bestFit="1" customWidth="1"/>
    <col min="3" max="3" width="16.28515625" style="1" bestFit="1" customWidth="1"/>
    <col min="4" max="4" width="13.140625" bestFit="1" customWidth="1"/>
    <col min="5" max="5" width="19.7109375" bestFit="1" customWidth="1"/>
    <col min="6" max="6" width="36.140625" bestFit="1" customWidth="1"/>
    <col min="7" max="7" width="19.7109375" style="1" bestFit="1" customWidth="1"/>
    <col min="8" max="8" width="36.140625" bestFit="1" customWidth="1"/>
  </cols>
  <sheetData>
    <row r="1" spans="1:8" s="5" customFormat="1" x14ac:dyDescent="0.25">
      <c r="A1" s="5" t="s">
        <v>364</v>
      </c>
      <c r="B1" s="5" t="s">
        <v>363</v>
      </c>
      <c r="C1" s="6" t="s">
        <v>362</v>
      </c>
      <c r="D1" s="5" t="s">
        <v>361</v>
      </c>
      <c r="E1" s="5" t="s">
        <v>360</v>
      </c>
      <c r="F1" s="5" t="s">
        <v>359</v>
      </c>
      <c r="G1" s="6" t="s">
        <v>358</v>
      </c>
      <c r="H1" s="5" t="s">
        <v>357</v>
      </c>
    </row>
    <row r="2" spans="1:8" x14ac:dyDescent="0.25">
      <c r="A2" t="s">
        <v>356</v>
      </c>
      <c r="B2">
        <v>133304</v>
      </c>
      <c r="C2" s="1">
        <v>120</v>
      </c>
      <c r="D2" s="3">
        <v>44117</v>
      </c>
      <c r="E2" t="str">
        <f>"202010019128"</f>
        <v>202010019128</v>
      </c>
      <c r="F2" t="str">
        <f>"REIMBURSE BAIL BOND COUPONS"</f>
        <v>REIMBURSE BAIL BOND COUPONS</v>
      </c>
      <c r="G2" s="1">
        <v>120</v>
      </c>
      <c r="H2" t="str">
        <f>"REIMBURSE BAIL BOND COUPONS"</f>
        <v>REIMBURSE BAIL BOND COUPONS</v>
      </c>
    </row>
    <row r="3" spans="1:8" x14ac:dyDescent="0.25">
      <c r="A3" t="s">
        <v>355</v>
      </c>
      <c r="B3">
        <v>3320</v>
      </c>
      <c r="C3" s="1">
        <v>17461.099999999999</v>
      </c>
      <c r="D3" s="3">
        <v>44118</v>
      </c>
      <c r="E3" t="str">
        <f>"202010059383"</f>
        <v>202010059383</v>
      </c>
      <c r="F3" t="str">
        <f>"ACCT#9725-001/REC BASE/PCT#2"</f>
        <v>ACCT#9725-001/REC BASE/PCT#2</v>
      </c>
      <c r="G3" s="1">
        <v>399.18</v>
      </c>
      <c r="H3" t="str">
        <f>"ACCT#9725-001/REC BASE/PCT#2"</f>
        <v>ACCT#9725-001/REC BASE/PCT#2</v>
      </c>
    </row>
    <row r="4" spans="1:8" x14ac:dyDescent="0.25">
      <c r="E4" t="str">
        <f>"202010059384"</f>
        <v>202010059384</v>
      </c>
      <c r="F4" t="str">
        <f>"ACCT#9725-001/REC BASE/PCT#2"</f>
        <v>ACCT#9725-001/REC BASE/PCT#2</v>
      </c>
      <c r="G4" s="1">
        <v>1178.3699999999999</v>
      </c>
      <c r="H4" t="str">
        <f>"ACCT#9725-001/REC BASE/PCT#2"</f>
        <v>ACCT#9725-001/REC BASE/PCT#2</v>
      </c>
    </row>
    <row r="5" spans="1:8" x14ac:dyDescent="0.25">
      <c r="E5" t="str">
        <f>"9725-001-118206"</f>
        <v>9725-001-118206</v>
      </c>
      <c r="F5" t="str">
        <f>"ACCT#9725-001/REC BASE/PCT#2"</f>
        <v>ACCT#9725-001/REC BASE/PCT#2</v>
      </c>
      <c r="G5" s="1">
        <v>1334.29</v>
      </c>
      <c r="H5" t="str">
        <f>"ACCT#9725-001/REC BASE/PCT#2"</f>
        <v>ACCT#9725-001/REC BASE/PCT#2</v>
      </c>
    </row>
    <row r="6" spans="1:8" x14ac:dyDescent="0.25">
      <c r="E6" t="str">
        <f>"9725-001-118227"</f>
        <v>9725-001-118227</v>
      </c>
      <c r="F6" t="str">
        <f>"ACCT#9725-001/REC BASE/PCT#2"</f>
        <v>ACCT#9725-001/REC BASE/PCT#2</v>
      </c>
      <c r="G6" s="1">
        <v>845.7</v>
      </c>
      <c r="H6" t="str">
        <f>"ACCT#9725-001/REC BASE/PCT#2"</f>
        <v>ACCT#9725-001/REC BASE/PCT#2</v>
      </c>
    </row>
    <row r="7" spans="1:8" x14ac:dyDescent="0.25">
      <c r="E7" t="str">
        <f>"9725-001-118239"</f>
        <v>9725-001-118239</v>
      </c>
      <c r="F7" t="str">
        <f>"ACCT#9725-001/REC BASE/PCT#2"</f>
        <v>ACCT#9725-001/REC BASE/PCT#2</v>
      </c>
      <c r="G7" s="1">
        <v>830.81</v>
      </c>
      <c r="H7" t="str">
        <f>"ACCT#9725-001/REC BASE/PCT#2"</f>
        <v>ACCT#9725-001/REC BASE/PCT#2</v>
      </c>
    </row>
    <row r="8" spans="1:8" x14ac:dyDescent="0.25">
      <c r="E8" t="str">
        <f>"9725-001-118254"</f>
        <v>9725-001-118254</v>
      </c>
      <c r="F8" t="str">
        <f>"ACCT#9725-001/REC BASE/PCT#2"</f>
        <v>ACCT#9725-001/REC BASE/PCT#2</v>
      </c>
      <c r="G8" s="1">
        <v>1621.31</v>
      </c>
      <c r="H8" t="str">
        <f>"ACCT#9725-001/REC BASE/PCT#2"</f>
        <v>ACCT#9725-001/REC BASE/PCT#2</v>
      </c>
    </row>
    <row r="9" spans="1:8" x14ac:dyDescent="0.25">
      <c r="E9" t="str">
        <f>"9725-001-118341"</f>
        <v>9725-001-118341</v>
      </c>
      <c r="F9" t="str">
        <f>"ACCT#9725-001/REC BASE/PCT#2"</f>
        <v>ACCT#9725-001/REC BASE/PCT#2</v>
      </c>
      <c r="G9" s="1">
        <v>992.52</v>
      </c>
      <c r="H9" t="str">
        <f>"ACCT#9725-001/REC BASE/PCT#2"</f>
        <v>ACCT#9725-001/REC BASE/PCT#2</v>
      </c>
    </row>
    <row r="10" spans="1:8" x14ac:dyDescent="0.25">
      <c r="E10" t="str">
        <f>"9725-001-118365"</f>
        <v>9725-001-118365</v>
      </c>
      <c r="F10" t="str">
        <f>"ACCT#9725-001/REC BASE/PCT#2"</f>
        <v>ACCT#9725-001/REC BASE/PCT#2</v>
      </c>
      <c r="G10" s="1">
        <v>436.36</v>
      </c>
      <c r="H10" t="str">
        <f>"ACCT#9725-001/REC BASE/PCT#2"</f>
        <v>ACCT#9725-001/REC BASE/PCT#2</v>
      </c>
    </row>
    <row r="11" spans="1:8" x14ac:dyDescent="0.25">
      <c r="E11" t="str">
        <f>"9725-001-118394"</f>
        <v>9725-001-118394</v>
      </c>
      <c r="F11" t="str">
        <f>"ACCT#9725-001/REC BASE/PCT#2"</f>
        <v>ACCT#9725-001/REC BASE/PCT#2</v>
      </c>
      <c r="G11" s="1">
        <v>993.74</v>
      </c>
      <c r="H11" t="str">
        <f>"ACCT#9725-001/REC BASE/PCT#2"</f>
        <v>ACCT#9725-001/REC BASE/PCT#2</v>
      </c>
    </row>
    <row r="12" spans="1:8" x14ac:dyDescent="0.25">
      <c r="E12" t="str">
        <f>"9725-001-118418"</f>
        <v>9725-001-118418</v>
      </c>
      <c r="F12" t="str">
        <f>"ACCT#9725-001/REC BASE/PCT#2"</f>
        <v>ACCT#9725-001/REC BASE/PCT#2</v>
      </c>
      <c r="G12" s="1">
        <v>1219.06</v>
      </c>
      <c r="H12" t="str">
        <f>"ACCT#9725-001/REC BASE/PCT#2"</f>
        <v>ACCT#9725-001/REC BASE/PCT#2</v>
      </c>
    </row>
    <row r="13" spans="1:8" x14ac:dyDescent="0.25">
      <c r="E13" t="str">
        <f>"9725-007-118236"</f>
        <v>9725-007-118236</v>
      </c>
      <c r="F13" t="str">
        <f>"ACCT#9725-007/REC BASE/PCT#4"</f>
        <v>ACCT#9725-007/REC BASE/PCT#4</v>
      </c>
      <c r="G13" s="1">
        <v>995.93</v>
      </c>
      <c r="H13" t="str">
        <f>"ACCT#9725-007/REC BASE/PCT#4"</f>
        <v>ACCT#9725-007/REC BASE/PCT#4</v>
      </c>
    </row>
    <row r="14" spans="1:8" x14ac:dyDescent="0.25">
      <c r="E14" t="str">
        <f>"9725-007-118249"</f>
        <v>9725-007-118249</v>
      </c>
      <c r="F14" t="str">
        <f>"ACCT#9725-007/REC BASE/PCT#4"</f>
        <v>ACCT#9725-007/REC BASE/PCT#4</v>
      </c>
      <c r="G14" s="1">
        <v>997.07</v>
      </c>
      <c r="H14" t="str">
        <f>"ACCT#9725-007/REC BASE/PCT#4"</f>
        <v>ACCT#9725-007/REC BASE/PCT#4</v>
      </c>
    </row>
    <row r="15" spans="1:8" x14ac:dyDescent="0.25">
      <c r="E15" t="str">
        <f>"9725-007-118264"</f>
        <v>9725-007-118264</v>
      </c>
      <c r="F15" t="str">
        <f>"ACCT#9725-007/REC BASE/PCT#4"</f>
        <v>ACCT#9725-007/REC BASE/PCT#4</v>
      </c>
      <c r="G15" s="1">
        <v>1004.16</v>
      </c>
      <c r="H15" t="str">
        <f>"ACCT#9725-007/REC BASE/PCT#4"</f>
        <v>ACCT#9725-007/REC BASE/PCT#4</v>
      </c>
    </row>
    <row r="16" spans="1:8" x14ac:dyDescent="0.25">
      <c r="E16" t="str">
        <f>"9725-007-118286"</f>
        <v>9725-007-118286</v>
      </c>
      <c r="F16" t="str">
        <f>"ACCT#9725-007/REC BASE/PCT#4"</f>
        <v>ACCT#9725-007/REC BASE/PCT#4</v>
      </c>
      <c r="G16" s="1">
        <v>803.17</v>
      </c>
      <c r="H16" t="str">
        <f>"ACCT#9725-007/REC BASE/PCT#4"</f>
        <v>ACCT#9725-007/REC BASE/PCT#4</v>
      </c>
    </row>
    <row r="17" spans="1:8" x14ac:dyDescent="0.25">
      <c r="E17" t="str">
        <f>"9725-007-118319"</f>
        <v>9725-007-118319</v>
      </c>
      <c r="F17" t="str">
        <f>"ACCT#9725-007/REC BASE/PCT#4"</f>
        <v>ACCT#9725-007/REC BASE/PCT#4</v>
      </c>
      <c r="G17" s="1">
        <v>1179.33</v>
      </c>
      <c r="H17" t="str">
        <f>"ACCT#9725-007/REC BASE/PCT#4"</f>
        <v>ACCT#9725-007/REC BASE/PCT#4</v>
      </c>
    </row>
    <row r="18" spans="1:8" x14ac:dyDescent="0.25">
      <c r="E18" t="str">
        <f>"9725-007-118404"</f>
        <v>9725-007-118404</v>
      </c>
      <c r="F18" t="str">
        <f>"ACCT#9725-007/REC BASE/PCT#4"</f>
        <v>ACCT#9725-007/REC BASE/PCT#4</v>
      </c>
      <c r="G18" s="1">
        <v>1009.5</v>
      </c>
      <c r="H18" t="str">
        <f>"ACCT#9725-007/REC BASE/PCT#4"</f>
        <v>ACCT#9725-007/REC BASE/PCT#4</v>
      </c>
    </row>
    <row r="19" spans="1:8" x14ac:dyDescent="0.25">
      <c r="E19" t="str">
        <f>"9725-007-118427"</f>
        <v>9725-007-118427</v>
      </c>
      <c r="F19" t="str">
        <f>"ACCT#9725-007/REC BASE/PCT#4"</f>
        <v>ACCT#9725-007/REC BASE/PCT#4</v>
      </c>
      <c r="G19" s="1">
        <v>1620.6</v>
      </c>
      <c r="H19" t="str">
        <f>"ACCT#9725-007/REC BASE/PCT#4"</f>
        <v>ACCT#9725-007/REC BASE/PCT#4</v>
      </c>
    </row>
    <row r="20" spans="1:8" x14ac:dyDescent="0.25">
      <c r="A20" t="s">
        <v>355</v>
      </c>
      <c r="B20">
        <v>3387</v>
      </c>
      <c r="C20" s="1">
        <v>6000.71</v>
      </c>
      <c r="D20" s="3">
        <v>44131</v>
      </c>
      <c r="E20" t="str">
        <f>"9725-007-118450"</f>
        <v>9725-007-118450</v>
      </c>
      <c r="F20" t="str">
        <f>"ACCT#9725-007/REC BASE/PCT#4"</f>
        <v>ACCT#9725-007/REC BASE/PCT#4</v>
      </c>
      <c r="G20" s="1">
        <v>607.52</v>
      </c>
      <c r="H20" t="str">
        <f>"ACCT#9725-007/REC BASE/PCT#4"</f>
        <v>ACCT#9725-007/REC BASE/PCT#4</v>
      </c>
    </row>
    <row r="21" spans="1:8" x14ac:dyDescent="0.25">
      <c r="E21" t="str">
        <f>"9725-007-118474"</f>
        <v>9725-007-118474</v>
      </c>
      <c r="F21" t="str">
        <f>"ACCT#9725-007/REC BASE/PCT#4"</f>
        <v>ACCT#9725-007/REC BASE/PCT#4</v>
      </c>
      <c r="G21" s="1">
        <v>992.52</v>
      </c>
      <c r="H21" t="str">
        <f>"ACCT#9725-007/REC BASE/PCT#4"</f>
        <v>ACCT#9725-007/REC BASE/PCT#4</v>
      </c>
    </row>
    <row r="22" spans="1:8" x14ac:dyDescent="0.25">
      <c r="E22" t="str">
        <f>"9725-007-118566"</f>
        <v>9725-007-118566</v>
      </c>
      <c r="F22" t="str">
        <f>"ACCT#9725-007/REC BASE/PCT#4"</f>
        <v>ACCT#9725-007/REC BASE/PCT#4</v>
      </c>
      <c r="G22" s="1">
        <v>795.2</v>
      </c>
      <c r="H22" t="str">
        <f>"ACCT#9725-007/REC BASE/PCT#4"</f>
        <v>ACCT#9725-007/REC BASE/PCT#4</v>
      </c>
    </row>
    <row r="23" spans="1:8" x14ac:dyDescent="0.25">
      <c r="E23" t="str">
        <f>"9725-007-118590"</f>
        <v>9725-007-118590</v>
      </c>
      <c r="F23" t="str">
        <f>"ACCT#9725-007/REC BASE/PCT#4"</f>
        <v>ACCT#9725-007/REC BASE/PCT#4</v>
      </c>
      <c r="G23" s="1">
        <v>794.51</v>
      </c>
      <c r="H23" t="str">
        <f>"ACCT#9725-007/REC BASE/PCT#4"</f>
        <v>ACCT#9725-007/REC BASE/PCT#4</v>
      </c>
    </row>
    <row r="24" spans="1:8" x14ac:dyDescent="0.25">
      <c r="E24" t="str">
        <f>"9725-007-118614"</f>
        <v>9725-007-118614</v>
      </c>
      <c r="F24" t="str">
        <f>"ACCT#9725-007/REC BASE/PCT#4"</f>
        <v>ACCT#9725-007/REC BASE/PCT#4</v>
      </c>
      <c r="G24" s="1">
        <v>1001.62</v>
      </c>
      <c r="H24" t="str">
        <f>"ACCT#9725-007/REC BASE/PCT#4"</f>
        <v>ACCT#9725-007/REC BASE/PCT#4</v>
      </c>
    </row>
    <row r="25" spans="1:8" x14ac:dyDescent="0.25">
      <c r="E25" t="str">
        <f>"9725-007-118639"</f>
        <v>9725-007-118639</v>
      </c>
      <c r="F25" t="str">
        <f>"ACCT#9725-007/REC BASE/PCT#4"</f>
        <v>ACCT#9725-007/REC BASE/PCT#4</v>
      </c>
      <c r="G25" s="1">
        <v>1004.42</v>
      </c>
      <c r="H25" t="str">
        <f>"ACCT#9725-007/REC BASE/PCT#4"</f>
        <v>ACCT#9725-007/REC BASE/PCT#4</v>
      </c>
    </row>
    <row r="26" spans="1:8" x14ac:dyDescent="0.25">
      <c r="E26" t="str">
        <f>"9725-007-118666"</f>
        <v>9725-007-118666</v>
      </c>
      <c r="F26" t="str">
        <f>"ACCT#9725-007/REC BASE/PCT#4"</f>
        <v>ACCT#9725-007/REC BASE/PCT#4</v>
      </c>
      <c r="G26" s="1">
        <v>804.92</v>
      </c>
      <c r="H26" t="str">
        <f>"ACCT#9725-007/REC BASE/PCT#4"</f>
        <v>ACCT#9725-007/REC BASE/PCT#4</v>
      </c>
    </row>
    <row r="27" spans="1:8" x14ac:dyDescent="0.25">
      <c r="A27" t="s">
        <v>354</v>
      </c>
      <c r="B27">
        <v>133305</v>
      </c>
      <c r="C27" s="1">
        <v>75</v>
      </c>
      <c r="D27" s="3">
        <v>44117</v>
      </c>
      <c r="E27" t="str">
        <f>"202010019127"</f>
        <v>202010019127</v>
      </c>
      <c r="F27" t="str">
        <f>"REIMBURSE BAIL BOND COUPONS"</f>
        <v>REIMBURSE BAIL BOND COUPONS</v>
      </c>
      <c r="G27" s="1">
        <v>75</v>
      </c>
      <c r="H27" t="str">
        <f>"REIMBURSE BAIL BOND COUPONS"</f>
        <v>REIMBURSE BAIL BOND COUPONS</v>
      </c>
    </row>
    <row r="28" spans="1:8" x14ac:dyDescent="0.25">
      <c r="A28" t="s">
        <v>353</v>
      </c>
      <c r="B28">
        <v>133425</v>
      </c>
      <c r="C28" s="1">
        <v>1354.87</v>
      </c>
      <c r="D28" s="3">
        <v>44130</v>
      </c>
      <c r="E28" t="str">
        <f>"4207745"</f>
        <v>4207745</v>
      </c>
      <c r="F28" t="str">
        <f>"CUST#M22786/EQUIPMENT SEAL"</f>
        <v>CUST#M22786/EQUIPMENT SEAL</v>
      </c>
      <c r="G28" s="1">
        <v>1354.87</v>
      </c>
      <c r="H28" t="str">
        <f>"CUST#M22786/EQUIPMENT SEAL"</f>
        <v>CUST#M22786/EQUIPMENT SEAL</v>
      </c>
    </row>
    <row r="29" spans="1:8" x14ac:dyDescent="0.25">
      <c r="A29" t="s">
        <v>352</v>
      </c>
      <c r="B29">
        <v>133306</v>
      </c>
      <c r="C29" s="1">
        <v>617.92999999999995</v>
      </c>
      <c r="D29" s="3">
        <v>44117</v>
      </c>
      <c r="E29" t="str">
        <f>"202010059361"</f>
        <v>202010059361</v>
      </c>
      <c r="F29" t="str">
        <f>"CUST ID:16500/STMT#403842/P4"</f>
        <v>CUST ID:16500/STMT#403842/P4</v>
      </c>
      <c r="G29" s="1">
        <v>617.92999999999995</v>
      </c>
      <c r="H29" t="str">
        <f>"CUST ID:16500/STMT#403842/P4"</f>
        <v>CUST ID:16500/STMT#403842/P4</v>
      </c>
    </row>
    <row r="30" spans="1:8" x14ac:dyDescent="0.25">
      <c r="A30" t="s">
        <v>351</v>
      </c>
      <c r="B30">
        <v>133426</v>
      </c>
      <c r="C30" s="1">
        <v>25</v>
      </c>
      <c r="D30" s="3">
        <v>44130</v>
      </c>
      <c r="E30" t="str">
        <f>"202010199625"</f>
        <v>202010199625</v>
      </c>
      <c r="F30" t="str">
        <f>"REFUND DRIVEWAY PERMIT FEE"</f>
        <v>REFUND DRIVEWAY PERMIT FEE</v>
      </c>
      <c r="G30" s="1">
        <v>25</v>
      </c>
      <c r="H30" t="str">
        <f>"REFUND DRIVEWAY PERMIT FEE"</f>
        <v>REFUND DRIVEWAY PERMIT FEE</v>
      </c>
    </row>
    <row r="31" spans="1:8" x14ac:dyDescent="0.25">
      <c r="A31" t="s">
        <v>350</v>
      </c>
      <c r="B31">
        <v>133307</v>
      </c>
      <c r="C31" s="1">
        <v>15615.08</v>
      </c>
      <c r="D31" s="3">
        <v>44117</v>
      </c>
      <c r="E31" t="str">
        <f>"202010059280"</f>
        <v>202010059280</v>
      </c>
      <c r="F31" t="str">
        <f>"423-5202"</f>
        <v>423-5202</v>
      </c>
      <c r="G31" s="1">
        <v>250</v>
      </c>
      <c r="H31" t="str">
        <f>"423-5202"</f>
        <v>423-5202</v>
      </c>
    </row>
    <row r="32" spans="1:8" x14ac:dyDescent="0.25">
      <c r="E32" t="str">
        <f>"202010059281"</f>
        <v>202010059281</v>
      </c>
      <c r="F32" t="str">
        <f>"423-4051"</f>
        <v>423-4051</v>
      </c>
      <c r="G32" s="1">
        <v>1427.58</v>
      </c>
      <c r="H32" t="str">
        <f>"423-4051"</f>
        <v>423-4051</v>
      </c>
    </row>
    <row r="33" spans="5:8" x14ac:dyDescent="0.25">
      <c r="E33" t="str">
        <f>"202010059282"</f>
        <v>202010059282</v>
      </c>
      <c r="F33" t="str">
        <f>"20-20130"</f>
        <v>20-20130</v>
      </c>
      <c r="G33" s="1">
        <v>1360</v>
      </c>
      <c r="H33" t="str">
        <f>"20-20130"</f>
        <v>20-20130</v>
      </c>
    </row>
    <row r="34" spans="5:8" x14ac:dyDescent="0.25">
      <c r="E34" t="str">
        <f>"202010059284"</f>
        <v>202010059284</v>
      </c>
      <c r="F34" t="str">
        <f>"20-20179"</f>
        <v>20-20179</v>
      </c>
      <c r="G34" s="1">
        <v>1402.5</v>
      </c>
      <c r="H34" t="str">
        <f>"20-20179"</f>
        <v>20-20179</v>
      </c>
    </row>
    <row r="35" spans="5:8" x14ac:dyDescent="0.25">
      <c r="E35" t="str">
        <f>"202010059285"</f>
        <v>202010059285</v>
      </c>
      <c r="F35" t="str">
        <f>"20-20258"</f>
        <v>20-20258</v>
      </c>
      <c r="G35" s="1">
        <v>815</v>
      </c>
      <c r="H35" t="str">
        <f>"20-20258"</f>
        <v>20-20258</v>
      </c>
    </row>
    <row r="36" spans="5:8" x14ac:dyDescent="0.25">
      <c r="E36" t="str">
        <f>"202010059286"</f>
        <v>202010059286</v>
      </c>
      <c r="F36" t="str">
        <f>"19-19680"</f>
        <v>19-19680</v>
      </c>
      <c r="G36" s="1">
        <v>577.5</v>
      </c>
      <c r="H36" t="str">
        <f>"19-19680"</f>
        <v>19-19680</v>
      </c>
    </row>
    <row r="37" spans="5:8" x14ac:dyDescent="0.25">
      <c r="E37" t="str">
        <f>"202010059287"</f>
        <v>202010059287</v>
      </c>
      <c r="F37" t="str">
        <f>"19-19986"</f>
        <v>19-19986</v>
      </c>
      <c r="G37" s="1">
        <v>1872.5</v>
      </c>
      <c r="H37" t="str">
        <f>"19-19986"</f>
        <v>19-19986</v>
      </c>
    </row>
    <row r="38" spans="5:8" x14ac:dyDescent="0.25">
      <c r="E38" t="str">
        <f>"202010059288"</f>
        <v>202010059288</v>
      </c>
      <c r="F38" t="str">
        <f>"19-19885"</f>
        <v>19-19885</v>
      </c>
      <c r="G38" s="1">
        <v>527.5</v>
      </c>
      <c r="H38" t="str">
        <f>"19-19885"</f>
        <v>19-19885</v>
      </c>
    </row>
    <row r="39" spans="5:8" x14ac:dyDescent="0.25">
      <c r="E39" t="str">
        <f>"202010059289"</f>
        <v>202010059289</v>
      </c>
      <c r="F39" t="str">
        <f>"19-19456"</f>
        <v>19-19456</v>
      </c>
      <c r="G39" s="1">
        <v>1042.5</v>
      </c>
      <c r="H39" t="str">
        <f>"19-19456"</f>
        <v>19-19456</v>
      </c>
    </row>
    <row r="40" spans="5:8" x14ac:dyDescent="0.25">
      <c r="E40" t="str">
        <f>"202010059290"</f>
        <v>202010059290</v>
      </c>
      <c r="F40" t="str">
        <f>"20-20359"</f>
        <v>20-20359</v>
      </c>
      <c r="G40" s="1">
        <v>400</v>
      </c>
      <c r="H40" t="str">
        <f>"20-20359"</f>
        <v>20-20359</v>
      </c>
    </row>
    <row r="41" spans="5:8" x14ac:dyDescent="0.25">
      <c r="E41" t="str">
        <f>"202010059291"</f>
        <v>202010059291</v>
      </c>
      <c r="F41" t="str">
        <f>"19-19521"</f>
        <v>19-19521</v>
      </c>
      <c r="G41" s="1">
        <v>475</v>
      </c>
      <c r="H41" t="str">
        <f>"19-19521"</f>
        <v>19-19521</v>
      </c>
    </row>
    <row r="42" spans="5:8" x14ac:dyDescent="0.25">
      <c r="E42" t="str">
        <f>"202010059293"</f>
        <v>202010059293</v>
      </c>
      <c r="F42" t="str">
        <f>"19-19740"</f>
        <v>19-19740</v>
      </c>
      <c r="G42" s="1">
        <v>725</v>
      </c>
      <c r="H42" t="str">
        <f>"19-19740"</f>
        <v>19-19740</v>
      </c>
    </row>
    <row r="43" spans="5:8" x14ac:dyDescent="0.25">
      <c r="E43" t="str">
        <f>"202010059294"</f>
        <v>202010059294</v>
      </c>
      <c r="F43" t="str">
        <f>"19-19849"</f>
        <v>19-19849</v>
      </c>
      <c r="G43" s="1">
        <v>1297.5</v>
      </c>
      <c r="H43" t="str">
        <f>"19-19849"</f>
        <v>19-19849</v>
      </c>
    </row>
    <row r="44" spans="5:8" x14ac:dyDescent="0.25">
      <c r="E44" t="str">
        <f>"202010059295"</f>
        <v>202010059295</v>
      </c>
      <c r="F44" t="str">
        <f>"16-17978"</f>
        <v>16-17978</v>
      </c>
      <c r="G44" s="1">
        <v>1237.5</v>
      </c>
      <c r="H44" t="str">
        <f>"16-17978"</f>
        <v>16-17978</v>
      </c>
    </row>
    <row r="45" spans="5:8" x14ac:dyDescent="0.25">
      <c r="E45" t="str">
        <f>"202010059296"</f>
        <v>202010059296</v>
      </c>
      <c r="F45" t="str">
        <f>"19-19811"</f>
        <v>19-19811</v>
      </c>
      <c r="G45" s="1">
        <v>452.5</v>
      </c>
      <c r="H45" t="str">
        <f>"19-19811"</f>
        <v>19-19811</v>
      </c>
    </row>
    <row r="46" spans="5:8" x14ac:dyDescent="0.25">
      <c r="E46" t="str">
        <f>"202010059297"</f>
        <v>202010059297</v>
      </c>
      <c r="F46" t="str">
        <f>"16-17626"</f>
        <v>16-17626</v>
      </c>
      <c r="G46" s="1">
        <v>255</v>
      </c>
      <c r="H46" t="str">
        <f>"16-17626"</f>
        <v>16-17626</v>
      </c>
    </row>
    <row r="47" spans="5:8" x14ac:dyDescent="0.25">
      <c r="E47" t="str">
        <f>"202010059298"</f>
        <v>202010059298</v>
      </c>
      <c r="F47" t="str">
        <f>"19-19863"</f>
        <v>19-19863</v>
      </c>
      <c r="G47" s="1">
        <v>280</v>
      </c>
      <c r="H47" t="str">
        <f>"19-19863"</f>
        <v>19-19863</v>
      </c>
    </row>
    <row r="48" spans="5:8" x14ac:dyDescent="0.25">
      <c r="E48" t="str">
        <f>"202010059299"</f>
        <v>202010059299</v>
      </c>
      <c r="F48" t="str">
        <f>"19-19893"</f>
        <v>19-19893</v>
      </c>
      <c r="G48" s="1">
        <v>225</v>
      </c>
      <c r="H48" t="str">
        <f>"19-19893"</f>
        <v>19-19893</v>
      </c>
    </row>
    <row r="49" spans="1:8" x14ac:dyDescent="0.25">
      <c r="E49" t="str">
        <f>"202010059300"</f>
        <v>202010059300</v>
      </c>
      <c r="F49" t="str">
        <f>"19-19734"</f>
        <v>19-19734</v>
      </c>
      <c r="G49" s="1">
        <v>292.5</v>
      </c>
      <c r="H49" t="str">
        <f>"19-19734"</f>
        <v>19-19734</v>
      </c>
    </row>
    <row r="50" spans="1:8" x14ac:dyDescent="0.25">
      <c r="E50" t="str">
        <f>"202010059301"</f>
        <v>202010059301</v>
      </c>
      <c r="F50" t="str">
        <f>"19-19874"</f>
        <v>19-19874</v>
      </c>
      <c r="G50" s="1">
        <v>240</v>
      </c>
      <c r="H50" t="str">
        <f>"19-19874"</f>
        <v>19-19874</v>
      </c>
    </row>
    <row r="51" spans="1:8" x14ac:dyDescent="0.25">
      <c r="E51" t="str">
        <f>"202010059302"</f>
        <v>202010059302</v>
      </c>
      <c r="F51" t="str">
        <f>"20-20321"</f>
        <v>20-20321</v>
      </c>
      <c r="G51" s="1">
        <v>460</v>
      </c>
      <c r="H51" t="str">
        <f>"20-20321"</f>
        <v>20-20321</v>
      </c>
    </row>
    <row r="52" spans="1:8" x14ac:dyDescent="0.25">
      <c r="A52" t="s">
        <v>349</v>
      </c>
      <c r="B52">
        <v>133308</v>
      </c>
      <c r="C52" s="1">
        <v>1120</v>
      </c>
      <c r="D52" s="3">
        <v>44117</v>
      </c>
      <c r="E52" t="str">
        <f>"202010069490"</f>
        <v>202010069490</v>
      </c>
      <c r="F52" t="str">
        <f>"09-13564"</f>
        <v>09-13564</v>
      </c>
      <c r="G52" s="1">
        <v>660</v>
      </c>
      <c r="H52" t="str">
        <f>"09-13564"</f>
        <v>09-13564</v>
      </c>
    </row>
    <row r="53" spans="1:8" x14ac:dyDescent="0.25">
      <c r="E53" t="str">
        <f>"202010069494"</f>
        <v>202010069494</v>
      </c>
      <c r="F53" t="str">
        <f>"16-17918"</f>
        <v>16-17918</v>
      </c>
      <c r="G53" s="1">
        <v>97.5</v>
      </c>
      <c r="H53" t="str">
        <f>"16-17918"</f>
        <v>16-17918</v>
      </c>
    </row>
    <row r="54" spans="1:8" x14ac:dyDescent="0.25">
      <c r="E54" t="str">
        <f>"202010069495"</f>
        <v>202010069495</v>
      </c>
      <c r="F54" t="str">
        <f>"20-20261"</f>
        <v>20-20261</v>
      </c>
      <c r="G54" s="1">
        <v>202.5</v>
      </c>
      <c r="H54" t="str">
        <f>"20-20261"</f>
        <v>20-20261</v>
      </c>
    </row>
    <row r="55" spans="1:8" x14ac:dyDescent="0.25">
      <c r="E55" t="str">
        <f>"202010069496"</f>
        <v>202010069496</v>
      </c>
      <c r="F55" t="str">
        <f>"20-20321"</f>
        <v>20-20321</v>
      </c>
      <c r="G55" s="1">
        <v>130</v>
      </c>
      <c r="H55" t="str">
        <f>"20-20321"</f>
        <v>20-20321</v>
      </c>
    </row>
    <row r="56" spans="1:8" x14ac:dyDescent="0.25">
      <c r="E56" t="str">
        <f>"202010069497"</f>
        <v>202010069497</v>
      </c>
      <c r="F56" t="str">
        <f>"19-19857"</f>
        <v>19-19857</v>
      </c>
      <c r="G56" s="1">
        <v>30</v>
      </c>
      <c r="H56" t="str">
        <f>"19-19857"</f>
        <v>19-19857</v>
      </c>
    </row>
    <row r="57" spans="1:8" x14ac:dyDescent="0.25">
      <c r="A57" t="s">
        <v>348</v>
      </c>
      <c r="B57">
        <v>133309</v>
      </c>
      <c r="C57" s="1">
        <v>1197</v>
      </c>
      <c r="D57" s="3">
        <v>44117</v>
      </c>
      <c r="E57" t="str">
        <f>"INV-2389"</f>
        <v>INV-2389</v>
      </c>
      <c r="F57" t="str">
        <f>"AGENCY 360 PLATFORM-BASIC SUB"</f>
        <v>AGENCY 360 PLATFORM-BASIC SUB</v>
      </c>
      <c r="G57" s="1">
        <v>1197</v>
      </c>
      <c r="H57" t="str">
        <f>"AGENCY 360 PLATFORM-BASIC SUB"</f>
        <v>AGENCY 360 PLATFORM-BASIC SUB</v>
      </c>
    </row>
    <row r="58" spans="1:8" x14ac:dyDescent="0.25">
      <c r="A58" t="s">
        <v>348</v>
      </c>
      <c r="B58">
        <v>133427</v>
      </c>
      <c r="C58" s="1">
        <v>2394</v>
      </c>
      <c r="D58" s="3">
        <v>44130</v>
      </c>
      <c r="E58" t="str">
        <f>"INV-2517"</f>
        <v>INV-2517</v>
      </c>
      <c r="F58" t="str">
        <f>"AGENCY 360 PLATFORM BASIC SUBS"</f>
        <v>AGENCY 360 PLATFORM BASIC SUBS</v>
      </c>
      <c r="G58" s="1">
        <v>2394</v>
      </c>
      <c r="H58" t="str">
        <f>"AGENCY 360 PLATFORM BASIC SUBS"</f>
        <v>AGENCY 360 PLATFORM BASIC SUBS</v>
      </c>
    </row>
    <row r="59" spans="1:8" x14ac:dyDescent="0.25">
      <c r="A59" t="s">
        <v>347</v>
      </c>
      <c r="B59">
        <v>133428</v>
      </c>
      <c r="C59" s="1">
        <v>494.54</v>
      </c>
      <c r="D59" s="3">
        <v>44130</v>
      </c>
      <c r="E59" t="str">
        <f>"7260342"</f>
        <v>7260342</v>
      </c>
      <c r="F59" t="str">
        <f>"CUST#17295/PCT#3"</f>
        <v>CUST#17295/PCT#3</v>
      </c>
      <c r="G59" s="1">
        <v>494.54</v>
      </c>
      <c r="H59" t="str">
        <f>"CUST#17295/PCT#3"</f>
        <v>CUST#17295/PCT#3</v>
      </c>
    </row>
    <row r="60" spans="1:8" x14ac:dyDescent="0.25">
      <c r="A60" t="s">
        <v>346</v>
      </c>
      <c r="B60">
        <v>3364</v>
      </c>
      <c r="C60" s="1">
        <v>400</v>
      </c>
      <c r="D60" s="3">
        <v>44118</v>
      </c>
      <c r="E60" t="str">
        <f>"202009309095"</f>
        <v>202009309095</v>
      </c>
      <c r="F60" t="str">
        <f>"16 951"</f>
        <v>16 951</v>
      </c>
      <c r="G60" s="1">
        <v>400</v>
      </c>
      <c r="H60" t="str">
        <f>"16 951"</f>
        <v>16 951</v>
      </c>
    </row>
    <row r="61" spans="1:8" x14ac:dyDescent="0.25">
      <c r="A61" t="s">
        <v>346</v>
      </c>
      <c r="B61">
        <v>3436</v>
      </c>
      <c r="C61" s="1">
        <v>1100</v>
      </c>
      <c r="D61" s="3">
        <v>44131</v>
      </c>
      <c r="E61" t="str">
        <f>"202010149569"</f>
        <v>202010149569</v>
      </c>
      <c r="F61" t="str">
        <f>"16378"</f>
        <v>16378</v>
      </c>
      <c r="G61" s="1">
        <v>600</v>
      </c>
      <c r="H61" t="str">
        <f>"16378"</f>
        <v>16378</v>
      </c>
    </row>
    <row r="62" spans="1:8" x14ac:dyDescent="0.25">
      <c r="E62" t="str">
        <f>"202010159618"</f>
        <v>202010159618</v>
      </c>
      <c r="F62" t="str">
        <f>"1614-335"</f>
        <v>1614-335</v>
      </c>
      <c r="G62" s="1">
        <v>100</v>
      </c>
      <c r="H62" t="str">
        <f>"1614-335"</f>
        <v>1614-335</v>
      </c>
    </row>
    <row r="63" spans="1:8" x14ac:dyDescent="0.25">
      <c r="E63" t="str">
        <f>"202010159619"</f>
        <v>202010159619</v>
      </c>
      <c r="F63" t="str">
        <f>"1617-335"</f>
        <v>1617-335</v>
      </c>
      <c r="G63" s="1">
        <v>100</v>
      </c>
      <c r="H63" t="str">
        <f>"1617-335"</f>
        <v>1617-335</v>
      </c>
    </row>
    <row r="64" spans="1:8" x14ac:dyDescent="0.25">
      <c r="E64" t="str">
        <f>"202010159620"</f>
        <v>202010159620</v>
      </c>
      <c r="F64" t="str">
        <f>"1607-335"</f>
        <v>1607-335</v>
      </c>
      <c r="G64" s="1">
        <v>100</v>
      </c>
      <c r="H64" t="str">
        <f>"1607-335"</f>
        <v>1607-335</v>
      </c>
    </row>
    <row r="65" spans="1:8" x14ac:dyDescent="0.25">
      <c r="E65" t="str">
        <f>"202010159621"</f>
        <v>202010159621</v>
      </c>
      <c r="F65" t="str">
        <f>"1571-21"</f>
        <v>1571-21</v>
      </c>
      <c r="G65" s="1">
        <v>100</v>
      </c>
      <c r="H65" t="str">
        <f>"1571-21"</f>
        <v>1571-21</v>
      </c>
    </row>
    <row r="66" spans="1:8" x14ac:dyDescent="0.25">
      <c r="E66" t="str">
        <f>"202010159622"</f>
        <v>202010159622</v>
      </c>
      <c r="F66" t="str">
        <f>"423-7446"</f>
        <v>423-7446</v>
      </c>
      <c r="G66" s="1">
        <v>100</v>
      </c>
      <c r="H66" t="str">
        <f>"423-7446"</f>
        <v>423-7446</v>
      </c>
    </row>
    <row r="67" spans="1:8" x14ac:dyDescent="0.25">
      <c r="A67" t="s">
        <v>345</v>
      </c>
      <c r="B67">
        <v>3334</v>
      </c>
      <c r="C67" s="1">
        <v>1313.85</v>
      </c>
      <c r="D67" s="3">
        <v>44118</v>
      </c>
      <c r="E67" t="str">
        <f>"202010019119"</f>
        <v>202010019119</v>
      </c>
      <c r="F67" t="str">
        <f>"16 905"</f>
        <v>16 905</v>
      </c>
      <c r="G67" s="1">
        <v>337.95</v>
      </c>
      <c r="H67" t="str">
        <f>"16 905"</f>
        <v>16 905</v>
      </c>
    </row>
    <row r="68" spans="1:8" x14ac:dyDescent="0.25">
      <c r="E68" t="str">
        <f>"202010019120"</f>
        <v>202010019120</v>
      </c>
      <c r="F68" t="str">
        <f>"17 142   17 174"</f>
        <v>17 142   17 174</v>
      </c>
      <c r="G68" s="1">
        <v>300</v>
      </c>
      <c r="H68" t="str">
        <f>"17 142   17 174"</f>
        <v>17 142   17 174</v>
      </c>
    </row>
    <row r="69" spans="1:8" x14ac:dyDescent="0.25">
      <c r="E69" t="str">
        <f>"202010019121"</f>
        <v>202010019121</v>
      </c>
      <c r="F69" t="str">
        <f>"19-00838"</f>
        <v>19-00838</v>
      </c>
      <c r="G69" s="1">
        <v>337.95</v>
      </c>
      <c r="H69" t="str">
        <f>"19-00838"</f>
        <v>19-00838</v>
      </c>
    </row>
    <row r="70" spans="1:8" x14ac:dyDescent="0.25">
      <c r="E70" t="str">
        <f>"202010059303"</f>
        <v>202010059303</v>
      </c>
      <c r="F70" t="str">
        <f>"09-24-20 CRIMINAL DOCKET"</f>
        <v>09-24-20 CRIMINAL DOCKET</v>
      </c>
      <c r="G70" s="1">
        <v>337.95</v>
      </c>
      <c r="H70" t="str">
        <f>"09-24-20 CRIMINAL DOCKET"</f>
        <v>09-24-20 CRIMINAL DOCKET</v>
      </c>
    </row>
    <row r="71" spans="1:8" x14ac:dyDescent="0.25">
      <c r="A71" t="s">
        <v>344</v>
      </c>
      <c r="B71">
        <v>3325</v>
      </c>
      <c r="C71" s="1">
        <v>6809.42</v>
      </c>
      <c r="D71" s="3">
        <v>44118</v>
      </c>
      <c r="E71" t="str">
        <f>"202010059278"</f>
        <v>202010059278</v>
      </c>
      <c r="F71" t="str">
        <f>"HAULING EXPS 09/21-09/30/PCT#4"</f>
        <v>HAULING EXPS 09/21-09/30/PCT#4</v>
      </c>
      <c r="G71" s="1">
        <v>4915.76</v>
      </c>
      <c r="H71" t="str">
        <f>"HAULING EXPS 09/21-10/02/PCT#4"</f>
        <v>HAULING EXPS 09/21-10/02/PCT#4</v>
      </c>
    </row>
    <row r="72" spans="1:8" x14ac:dyDescent="0.25">
      <c r="E72" t="str">
        <f>"202010059279"</f>
        <v>202010059279</v>
      </c>
      <c r="F72" t="str">
        <f>"HAULING EXPS 10/01-10/02/PCT#4"</f>
        <v>HAULING EXPS 10/01-10/02/PCT#4</v>
      </c>
      <c r="G72" s="1">
        <v>1893.66</v>
      </c>
      <c r="H72" t="str">
        <f>"HAULING EXPS 10/01-10/02/PCT#4"</f>
        <v>HAULING EXPS 10/01-10/02/PCT#4</v>
      </c>
    </row>
    <row r="73" spans="1:8" x14ac:dyDescent="0.25">
      <c r="A73" t="s">
        <v>344</v>
      </c>
      <c r="B73">
        <v>3396</v>
      </c>
      <c r="C73" s="1">
        <v>4320.47</v>
      </c>
      <c r="D73" s="3">
        <v>44131</v>
      </c>
      <c r="E73" t="str">
        <f>"202010199642"</f>
        <v>202010199642</v>
      </c>
      <c r="F73" t="str">
        <f>"HAULING EXPS 10/05-10/16/PCT#4"</f>
        <v>HAULING EXPS 10/05-10/16/PCT#4</v>
      </c>
      <c r="G73" s="1">
        <v>4320.47</v>
      </c>
      <c r="H73" t="str">
        <f>"HAULING EXPS 10/05-10/16/PCT#4"</f>
        <v>HAULING EXPS 10/05-10/16/PCT#4</v>
      </c>
    </row>
    <row r="74" spans="1:8" x14ac:dyDescent="0.25">
      <c r="A74" t="s">
        <v>32</v>
      </c>
      <c r="B74">
        <v>3412</v>
      </c>
      <c r="C74" s="1">
        <v>700.65</v>
      </c>
      <c r="D74" s="3">
        <v>44131</v>
      </c>
      <c r="E74" t="str">
        <f>"1GMM-CVCJ-9QCX"</f>
        <v>1GMM-CVCJ-9QCX</v>
      </c>
      <c r="F74" t="str">
        <f>"Amazon Order"</f>
        <v>Amazon Order</v>
      </c>
      <c r="G74" s="1">
        <v>97.05</v>
      </c>
      <c r="H74" t="str">
        <f>"#1GMM-CVCJ-9QCX"</f>
        <v>#1GMM-CVCJ-9QCX</v>
      </c>
    </row>
    <row r="75" spans="1:8" x14ac:dyDescent="0.25">
      <c r="E75" t="str">
        <f>"1Y3Y-M1M6-M913"</f>
        <v>1Y3Y-M1M6-M913</v>
      </c>
      <c r="F75" t="str">
        <f>"Order"</f>
        <v>Order</v>
      </c>
      <c r="G75" s="1">
        <v>309</v>
      </c>
      <c r="H75" t="str">
        <f>"Truck Bed Cover"</f>
        <v>Truck Bed Cover</v>
      </c>
    </row>
    <row r="76" spans="1:8" x14ac:dyDescent="0.25">
      <c r="E76" t="str">
        <f>"202010209662"</f>
        <v>202010209662</v>
      </c>
      <c r="F76" t="str">
        <f>"iPad Case"</f>
        <v>iPad Case</v>
      </c>
      <c r="G76" s="1">
        <v>294.60000000000002</v>
      </c>
      <c r="H76" t="str">
        <f>"Pelican Case"</f>
        <v>Pelican Case</v>
      </c>
    </row>
    <row r="77" spans="1:8" x14ac:dyDescent="0.25">
      <c r="A77" t="s">
        <v>343</v>
      </c>
      <c r="B77">
        <v>133429</v>
      </c>
      <c r="C77" s="1">
        <v>83.28</v>
      </c>
      <c r="D77" s="3">
        <v>44130</v>
      </c>
      <c r="E77" t="str">
        <f>"5394454"</f>
        <v>5394454</v>
      </c>
      <c r="F77" t="str">
        <f>"CUST ID:100074/PCT#3"</f>
        <v>CUST ID:100074/PCT#3</v>
      </c>
      <c r="G77" s="1">
        <v>83.28</v>
      </c>
      <c r="H77" t="str">
        <f>"CUST ID:100074/PCT#3"</f>
        <v>CUST ID:100074/PCT#3</v>
      </c>
    </row>
    <row r="78" spans="1:8" x14ac:dyDescent="0.25">
      <c r="A78" t="s">
        <v>342</v>
      </c>
      <c r="B78">
        <v>133310</v>
      </c>
      <c r="C78" s="1">
        <v>6648.34</v>
      </c>
      <c r="D78" s="3">
        <v>44117</v>
      </c>
      <c r="E78" t="str">
        <f>"112849"</f>
        <v>112849</v>
      </c>
      <c r="F78" t="str">
        <f>"2020 POSTCARD/ELECTIONS"</f>
        <v>2020 POSTCARD/ELECTIONS</v>
      </c>
      <c r="G78" s="1">
        <v>6648.34</v>
      </c>
      <c r="H78" t="str">
        <f>"2020 POSTCARD/ELECTIONS"</f>
        <v>2020 POSTCARD/ELECTIONS</v>
      </c>
    </row>
    <row r="79" spans="1:8" x14ac:dyDescent="0.25">
      <c r="A79" t="s">
        <v>341</v>
      </c>
      <c r="B79">
        <v>3377</v>
      </c>
      <c r="C79" s="1">
        <v>4390</v>
      </c>
      <c r="D79" s="3">
        <v>44118</v>
      </c>
      <c r="E79" t="str">
        <f>"202010059304"</f>
        <v>202010059304</v>
      </c>
      <c r="F79" t="str">
        <f>"19-19679"</f>
        <v>19-19679</v>
      </c>
      <c r="G79" s="1">
        <v>235</v>
      </c>
      <c r="H79" t="str">
        <f>"19-19679"</f>
        <v>19-19679</v>
      </c>
    </row>
    <row r="80" spans="1:8" x14ac:dyDescent="0.25">
      <c r="E80" t="str">
        <f>"202010059305"</f>
        <v>202010059305</v>
      </c>
      <c r="F80" t="str">
        <f>"19-19857"</f>
        <v>19-19857</v>
      </c>
      <c r="G80" s="1">
        <v>165</v>
      </c>
      <c r="H80" t="str">
        <f>"19-19857"</f>
        <v>19-19857</v>
      </c>
    </row>
    <row r="81" spans="5:8" x14ac:dyDescent="0.25">
      <c r="E81" t="str">
        <f>"202010059307"</f>
        <v>202010059307</v>
      </c>
      <c r="F81" t="str">
        <f>"16-17978"</f>
        <v>16-17978</v>
      </c>
      <c r="G81" s="1">
        <v>90</v>
      </c>
      <c r="H81" t="str">
        <f>"16-17978"</f>
        <v>16-17978</v>
      </c>
    </row>
    <row r="82" spans="5:8" x14ac:dyDescent="0.25">
      <c r="E82" t="str">
        <f>"202010059308"</f>
        <v>202010059308</v>
      </c>
      <c r="F82" t="str">
        <f>"19-19768"</f>
        <v>19-19768</v>
      </c>
      <c r="G82" s="1">
        <v>52.5</v>
      </c>
      <c r="H82" t="str">
        <f>"19-19768"</f>
        <v>19-19768</v>
      </c>
    </row>
    <row r="83" spans="5:8" x14ac:dyDescent="0.25">
      <c r="E83" t="str">
        <f>"202010059309"</f>
        <v>202010059309</v>
      </c>
      <c r="F83" t="str">
        <f>"20-20056"</f>
        <v>20-20056</v>
      </c>
      <c r="G83" s="1">
        <v>172.5</v>
      </c>
      <c r="H83" t="str">
        <f>"20-20056"</f>
        <v>20-20056</v>
      </c>
    </row>
    <row r="84" spans="5:8" x14ac:dyDescent="0.25">
      <c r="E84" t="str">
        <f>"202010059310"</f>
        <v>202010059310</v>
      </c>
      <c r="F84" t="str">
        <f>"20-20394"</f>
        <v>20-20394</v>
      </c>
      <c r="G84" s="1">
        <v>175</v>
      </c>
      <c r="H84" t="str">
        <f>"20-20394"</f>
        <v>20-20394</v>
      </c>
    </row>
    <row r="85" spans="5:8" x14ac:dyDescent="0.25">
      <c r="E85" t="str">
        <f>"202010059311"</f>
        <v>202010059311</v>
      </c>
      <c r="F85" t="str">
        <f>"20-20372"</f>
        <v>20-20372</v>
      </c>
      <c r="G85" s="1">
        <v>220</v>
      </c>
      <c r="H85" t="str">
        <f>"20-20372"</f>
        <v>20-20372</v>
      </c>
    </row>
    <row r="86" spans="5:8" x14ac:dyDescent="0.25">
      <c r="E86" t="str">
        <f>"202010059312"</f>
        <v>202010059312</v>
      </c>
      <c r="F86" t="str">
        <f>"20-20403"</f>
        <v>20-20403</v>
      </c>
      <c r="G86" s="1">
        <v>295</v>
      </c>
      <c r="H86" t="str">
        <f>"20-20403"</f>
        <v>20-20403</v>
      </c>
    </row>
    <row r="87" spans="5:8" x14ac:dyDescent="0.25">
      <c r="E87" t="str">
        <f>"202010059313"</f>
        <v>202010059313</v>
      </c>
      <c r="F87" t="str">
        <f>"19-19914"</f>
        <v>19-19914</v>
      </c>
      <c r="G87" s="1">
        <v>272.5</v>
      </c>
      <c r="H87" t="str">
        <f>"19-19914"</f>
        <v>19-19914</v>
      </c>
    </row>
    <row r="88" spans="5:8" x14ac:dyDescent="0.25">
      <c r="E88" t="str">
        <f>"202010059325"</f>
        <v>202010059325</v>
      </c>
      <c r="F88" t="str">
        <f>"20-20354"</f>
        <v>20-20354</v>
      </c>
      <c r="G88" s="1">
        <v>100</v>
      </c>
      <c r="H88" t="str">
        <f>"20-20354"</f>
        <v>20-20354</v>
      </c>
    </row>
    <row r="89" spans="5:8" x14ac:dyDescent="0.25">
      <c r="E89" t="str">
        <f>"202010059326"</f>
        <v>202010059326</v>
      </c>
      <c r="F89" t="str">
        <f>"AC.2018.0407B"</f>
        <v>AC.2018.0407B</v>
      </c>
      <c r="G89" s="1">
        <v>250</v>
      </c>
      <c r="H89" t="str">
        <f>"AC.2018.0407B"</f>
        <v>AC.2018.0407B</v>
      </c>
    </row>
    <row r="90" spans="5:8" x14ac:dyDescent="0.25">
      <c r="E90" t="str">
        <f>"202010059327"</f>
        <v>202010059327</v>
      </c>
      <c r="F90" t="str">
        <f>"JP106062019D"</f>
        <v>JP106062019D</v>
      </c>
      <c r="G90" s="1">
        <v>250</v>
      </c>
      <c r="H90" t="str">
        <f>"JP106062019D"</f>
        <v>JP106062019D</v>
      </c>
    </row>
    <row r="91" spans="5:8" x14ac:dyDescent="0.25">
      <c r="E91" t="str">
        <f>"202010059328"</f>
        <v>202010059328</v>
      </c>
      <c r="F91" t="str">
        <f>"302082018C"</f>
        <v>302082018C</v>
      </c>
      <c r="G91" s="1">
        <v>250</v>
      </c>
      <c r="H91" t="str">
        <f>"302082018C"</f>
        <v>302082018C</v>
      </c>
    </row>
    <row r="92" spans="5:8" x14ac:dyDescent="0.25">
      <c r="E92" t="str">
        <f>"202010059363"</f>
        <v>202010059363</v>
      </c>
      <c r="F92" t="str">
        <f>"57 350"</f>
        <v>57 350</v>
      </c>
      <c r="G92" s="1">
        <v>250</v>
      </c>
      <c r="H92" t="str">
        <f>"57 350"</f>
        <v>57 350</v>
      </c>
    </row>
    <row r="93" spans="5:8" x14ac:dyDescent="0.25">
      <c r="E93" t="str">
        <f>"202010059364"</f>
        <v>202010059364</v>
      </c>
      <c r="F93" t="str">
        <f>"19-19994"</f>
        <v>19-19994</v>
      </c>
      <c r="G93" s="1">
        <v>517.5</v>
      </c>
      <c r="H93" t="str">
        <f>"19-19994"</f>
        <v>19-19994</v>
      </c>
    </row>
    <row r="94" spans="5:8" x14ac:dyDescent="0.25">
      <c r="E94" t="str">
        <f>"202010059365"</f>
        <v>202010059365</v>
      </c>
      <c r="F94" t="str">
        <f>"20-20293"</f>
        <v>20-20293</v>
      </c>
      <c r="G94" s="1">
        <v>535</v>
      </c>
      <c r="H94" t="str">
        <f>"20-20293"</f>
        <v>20-20293</v>
      </c>
    </row>
    <row r="95" spans="5:8" x14ac:dyDescent="0.25">
      <c r="E95" t="str">
        <f>"202010069492"</f>
        <v>202010069492</v>
      </c>
      <c r="F95" t="str">
        <f>"20-20403"</f>
        <v>20-20403</v>
      </c>
      <c r="G95" s="1">
        <v>317.5</v>
      </c>
      <c r="H95" t="str">
        <f>"20-20403"</f>
        <v>20-20403</v>
      </c>
    </row>
    <row r="96" spans="5:8" x14ac:dyDescent="0.25">
      <c r="E96" t="str">
        <f>"202010069493"</f>
        <v>202010069493</v>
      </c>
      <c r="F96" t="str">
        <f>"20-20394"</f>
        <v>20-20394</v>
      </c>
      <c r="G96" s="1">
        <v>242.5</v>
      </c>
      <c r="H96" t="str">
        <f>"20-20394"</f>
        <v>20-20394</v>
      </c>
    </row>
    <row r="97" spans="1:8" x14ac:dyDescent="0.25">
      <c r="A97" t="s">
        <v>341</v>
      </c>
      <c r="B97">
        <v>3451</v>
      </c>
      <c r="C97" s="1">
        <v>4900</v>
      </c>
      <c r="D97" s="3">
        <v>44131</v>
      </c>
      <c r="E97" t="str">
        <f>"202010149554"</f>
        <v>202010149554</v>
      </c>
      <c r="F97" t="str">
        <f>"1614-21"</f>
        <v>1614-21</v>
      </c>
      <c r="G97" s="1">
        <v>100</v>
      </c>
      <c r="H97" t="str">
        <f>"1614-21"</f>
        <v>1614-21</v>
      </c>
    </row>
    <row r="98" spans="1:8" x14ac:dyDescent="0.25">
      <c r="E98" t="str">
        <f>"202010149555"</f>
        <v>202010149555</v>
      </c>
      <c r="F98" t="str">
        <f>"423-7429"</f>
        <v>423-7429</v>
      </c>
      <c r="G98" s="1">
        <v>200</v>
      </c>
      <c r="H98" t="str">
        <f>"423-7429"</f>
        <v>423-7429</v>
      </c>
    </row>
    <row r="99" spans="1:8" x14ac:dyDescent="0.25">
      <c r="E99" t="str">
        <f>"202010149556"</f>
        <v>202010149556</v>
      </c>
      <c r="F99" t="str">
        <f>"1623-335"</f>
        <v>1623-335</v>
      </c>
      <c r="G99" s="1">
        <v>100</v>
      </c>
      <c r="H99" t="str">
        <f>"1623-335"</f>
        <v>1623-335</v>
      </c>
    </row>
    <row r="100" spans="1:8" x14ac:dyDescent="0.25">
      <c r="E100" t="str">
        <f>"202010149557"</f>
        <v>202010149557</v>
      </c>
      <c r="F100" t="str">
        <f>"17 129"</f>
        <v>17 129</v>
      </c>
      <c r="G100" s="1">
        <v>100</v>
      </c>
      <c r="H100" t="str">
        <f>"17 129"</f>
        <v>17 129</v>
      </c>
    </row>
    <row r="101" spans="1:8" x14ac:dyDescent="0.25">
      <c r="E101" t="str">
        <f>"202010149558"</f>
        <v>202010149558</v>
      </c>
      <c r="F101" t="str">
        <f>"17 142  17 174"</f>
        <v>17 142  17 174</v>
      </c>
      <c r="G101" s="1">
        <v>600</v>
      </c>
      <c r="H101" t="str">
        <f>"17 142  17 174"</f>
        <v>17 142  17 174</v>
      </c>
    </row>
    <row r="102" spans="1:8" x14ac:dyDescent="0.25">
      <c r="E102" t="str">
        <f>"202010149559"</f>
        <v>202010149559</v>
      </c>
      <c r="F102" t="str">
        <f>"16 836"</f>
        <v>16 836</v>
      </c>
      <c r="G102" s="1">
        <v>400</v>
      </c>
      <c r="H102" t="str">
        <f>"16 836"</f>
        <v>16 836</v>
      </c>
    </row>
    <row r="103" spans="1:8" x14ac:dyDescent="0.25">
      <c r="E103" t="str">
        <f>"202010149560"</f>
        <v>202010149560</v>
      </c>
      <c r="F103" t="str">
        <f>"16 919  16 838"</f>
        <v>16 919  16 838</v>
      </c>
      <c r="G103" s="1">
        <v>600</v>
      </c>
      <c r="H103" t="str">
        <f>"16 919  16 838"</f>
        <v>16 919  16 838</v>
      </c>
    </row>
    <row r="104" spans="1:8" x14ac:dyDescent="0.25">
      <c r="E104" t="str">
        <f>"202010149572"</f>
        <v>202010149572</v>
      </c>
      <c r="F104" t="str">
        <f>"423-7365  1578-335"</f>
        <v>423-7365  1578-335</v>
      </c>
      <c r="G104" s="1">
        <v>300</v>
      </c>
      <c r="H104" t="str">
        <f>"423-7365  1578-335"</f>
        <v>423-7365  1578-335</v>
      </c>
    </row>
    <row r="105" spans="1:8" x14ac:dyDescent="0.25">
      <c r="E105" t="str">
        <f>"202010149573"</f>
        <v>202010149573</v>
      </c>
      <c r="F105" t="str">
        <f>"17 162  17 164"</f>
        <v>17 162  17 164</v>
      </c>
      <c r="G105" s="1">
        <v>800</v>
      </c>
      <c r="H105" t="str">
        <f>"17 162  17 164"</f>
        <v>17 162  17 164</v>
      </c>
    </row>
    <row r="106" spans="1:8" x14ac:dyDescent="0.25">
      <c r="E106" t="str">
        <f>"202010199638"</f>
        <v>202010199638</v>
      </c>
      <c r="F106" t="str">
        <f>"423-7287  1532-21  1537-335"</f>
        <v>423-7287  1532-21  1537-335</v>
      </c>
      <c r="G106" s="1">
        <v>450</v>
      </c>
      <c r="H106" t="str">
        <f>"423-7287  1532-21  1537-335"</f>
        <v>423-7287  1532-21  1537-335</v>
      </c>
    </row>
    <row r="107" spans="1:8" x14ac:dyDescent="0.25">
      <c r="E107" t="str">
        <f>"202010209648"</f>
        <v>202010209648</v>
      </c>
      <c r="F107" t="str">
        <f>"423-7484"</f>
        <v>423-7484</v>
      </c>
      <c r="G107" s="1">
        <v>100</v>
      </c>
      <c r="H107" t="str">
        <f>"423-7484"</f>
        <v>423-7484</v>
      </c>
    </row>
    <row r="108" spans="1:8" x14ac:dyDescent="0.25">
      <c r="E108" t="str">
        <f>"202010209649"</f>
        <v>202010209649</v>
      </c>
      <c r="F108" t="str">
        <f>"1630-335"</f>
        <v>1630-335</v>
      </c>
      <c r="G108" s="1">
        <v>350</v>
      </c>
      <c r="H108" t="str">
        <f>"1630-335"</f>
        <v>1630-335</v>
      </c>
    </row>
    <row r="109" spans="1:8" x14ac:dyDescent="0.25">
      <c r="E109" t="str">
        <f>"202010209650"</f>
        <v>202010209650</v>
      </c>
      <c r="F109" t="str">
        <f>"423-7494"</f>
        <v>423-7494</v>
      </c>
      <c r="G109" s="1">
        <v>100</v>
      </c>
      <c r="H109" t="str">
        <f>"423-7494"</f>
        <v>423-7494</v>
      </c>
    </row>
    <row r="110" spans="1:8" x14ac:dyDescent="0.25">
      <c r="E110" t="str">
        <f>"202010209678"</f>
        <v>202010209678</v>
      </c>
      <c r="F110" t="str">
        <f>"57 485"</f>
        <v>57 485</v>
      </c>
      <c r="G110" s="1">
        <v>250</v>
      </c>
      <c r="H110" t="str">
        <f>"57 485"</f>
        <v>57 485</v>
      </c>
    </row>
    <row r="111" spans="1:8" x14ac:dyDescent="0.25">
      <c r="E111" t="str">
        <f>"202010209680"</f>
        <v>202010209680</v>
      </c>
      <c r="F111" t="str">
        <f>"AC20180407B"</f>
        <v>AC20180407B</v>
      </c>
      <c r="G111" s="1">
        <v>250</v>
      </c>
      <c r="H111" t="str">
        <f>"AC20180407B"</f>
        <v>AC20180407B</v>
      </c>
    </row>
    <row r="112" spans="1:8" x14ac:dyDescent="0.25">
      <c r="E112" t="str">
        <f>"202010209692"</f>
        <v>202010209692</v>
      </c>
      <c r="F112" t="str">
        <f>"20-20338  20-20339"</f>
        <v>20-20338  20-20339</v>
      </c>
      <c r="G112" s="1">
        <v>200</v>
      </c>
      <c r="H112" t="str">
        <f>"20-20338  20-20339"</f>
        <v>20-20338  20-20339</v>
      </c>
    </row>
    <row r="113" spans="1:8" x14ac:dyDescent="0.25">
      <c r="A113" t="s">
        <v>340</v>
      </c>
      <c r="B113">
        <v>133311</v>
      </c>
      <c r="C113" s="1">
        <v>300.32</v>
      </c>
      <c r="D113" s="3">
        <v>44117</v>
      </c>
      <c r="E113" t="str">
        <f>"2009-312765"</f>
        <v>2009-312765</v>
      </c>
      <c r="F113" t="str">
        <f>"ACCT#3-3053/PCT#2"</f>
        <v>ACCT#3-3053/PCT#2</v>
      </c>
      <c r="G113" s="1">
        <v>300.32</v>
      </c>
      <c r="H113" t="str">
        <f>"ACCT#3-3053/PCT#2"</f>
        <v>ACCT#3-3053/PCT#2</v>
      </c>
    </row>
    <row r="114" spans="1:8" x14ac:dyDescent="0.25">
      <c r="A114" t="s">
        <v>31</v>
      </c>
      <c r="B114">
        <v>133312</v>
      </c>
      <c r="C114" s="1">
        <v>696.23</v>
      </c>
      <c r="D114" s="3">
        <v>44117</v>
      </c>
      <c r="E114" t="str">
        <f>"202009309115"</f>
        <v>202009309115</v>
      </c>
      <c r="F114" t="str">
        <f>"ACCT#010149/TEXAS AGRI LIFE EX"</f>
        <v>ACCT#010149/TEXAS AGRI LIFE EX</v>
      </c>
      <c r="G114" s="1">
        <v>102.48</v>
      </c>
      <c r="H114" t="str">
        <f>"ACCT#010149/TEXAS AGRI LIFE EX"</f>
        <v>ACCT#010149/TEXAS AGRI LIFE EX</v>
      </c>
    </row>
    <row r="115" spans="1:8" x14ac:dyDescent="0.25">
      <c r="E115" t="str">
        <f>"202010059378"</f>
        <v>202010059378</v>
      </c>
      <c r="F115" t="str">
        <f>"ACCT#012259/DIST CLERKS OFFICE"</f>
        <v>ACCT#012259/DIST CLERKS OFFICE</v>
      </c>
      <c r="G115" s="1">
        <v>112.5</v>
      </c>
      <c r="H115" t="str">
        <f>"ACCT#012259/DIST CLERKS OFFICE"</f>
        <v>ACCT#012259/DIST CLERKS OFFICE</v>
      </c>
    </row>
    <row r="116" spans="1:8" x14ac:dyDescent="0.25">
      <c r="E116" t="str">
        <f>"202010059379"</f>
        <v>202010059379</v>
      </c>
      <c r="F116" t="str">
        <f>"ACCT#011280/COUNTY CLERK"</f>
        <v>ACCT#011280/COUNTY CLERK</v>
      </c>
      <c r="G116" s="1">
        <v>46.5</v>
      </c>
      <c r="H116" t="str">
        <f>"ACCT#011280/COUNTY CLERK"</f>
        <v>ACCT#011280/COUNTY CLERK</v>
      </c>
    </row>
    <row r="117" spans="1:8" x14ac:dyDescent="0.25">
      <c r="E117" t="str">
        <f>"202010059380"</f>
        <v>202010059380</v>
      </c>
      <c r="F117" t="str">
        <f>"ACCT#010311/COUNTY CT AT LAW"</f>
        <v>ACCT#010311/COUNTY CT AT LAW</v>
      </c>
      <c r="G117" s="1">
        <v>9</v>
      </c>
      <c r="H117" t="str">
        <f>"ACCT#010311/COUNTY CT AT LAW"</f>
        <v>ACCT#010311/COUNTY CT AT LAW</v>
      </c>
    </row>
    <row r="118" spans="1:8" x14ac:dyDescent="0.25">
      <c r="E118" t="str">
        <f>"202010059381"</f>
        <v>202010059381</v>
      </c>
      <c r="F118" t="str">
        <f>"ACCT#012803/BASTROP CO JUDGE"</f>
        <v>ACCT#012803/BASTROP CO JUDGE</v>
      </c>
      <c r="G118" s="1">
        <v>30</v>
      </c>
      <c r="H118" t="str">
        <f>"ACCT#012803/BASTROP CO JUDGE"</f>
        <v>ACCT#012803/BASTROP CO JUDGE</v>
      </c>
    </row>
    <row r="119" spans="1:8" x14ac:dyDescent="0.25">
      <c r="E119" t="str">
        <f>"202010059382"</f>
        <v>202010059382</v>
      </c>
      <c r="F119" t="str">
        <f>"ACCT#010238/GENERAL SVCS"</f>
        <v>ACCT#010238/GENERAL SVCS</v>
      </c>
      <c r="G119" s="1">
        <v>65.739999999999995</v>
      </c>
      <c r="H119" t="str">
        <f>"ACCT#010238/GENERAL SVCS"</f>
        <v>ACCT#010238/GENERAL SVCS</v>
      </c>
    </row>
    <row r="120" spans="1:8" x14ac:dyDescent="0.25">
      <c r="E120" t="str">
        <f>"202010069391"</f>
        <v>202010069391</v>
      </c>
      <c r="F120" t="str">
        <f>"ACCT#010149/AGRI LIFE EXT"</f>
        <v>ACCT#010149/AGRI LIFE EXT</v>
      </c>
      <c r="G120" s="1">
        <v>23</v>
      </c>
      <c r="H120" t="str">
        <f>"ACCT#010149/AGRI LIFT EXT"</f>
        <v>ACCT#010149/AGRI LIFT EXT</v>
      </c>
    </row>
    <row r="121" spans="1:8" x14ac:dyDescent="0.25">
      <c r="E121" t="str">
        <f>"202010069393"</f>
        <v>202010069393</v>
      </c>
      <c r="F121" t="str">
        <f>"ACCT#011033/IT DEPT"</f>
        <v>ACCT#011033/IT DEPT</v>
      </c>
      <c r="G121" s="1">
        <v>31.5</v>
      </c>
      <c r="H121" t="str">
        <f>"ACCT#011033/IT DEPT"</f>
        <v>ACCT#011033/IT DEPT</v>
      </c>
    </row>
    <row r="122" spans="1:8" x14ac:dyDescent="0.25">
      <c r="E122" t="str">
        <f>"202010069394"</f>
        <v>202010069394</v>
      </c>
      <c r="F122" t="str">
        <f>"ACCT#010057/AUDITOR"</f>
        <v>ACCT#010057/AUDITOR</v>
      </c>
      <c r="G122" s="1">
        <v>9</v>
      </c>
      <c r="H122" t="str">
        <f>"ACCT#010057/AUDITOR"</f>
        <v>ACCT#010057/AUDITOR</v>
      </c>
    </row>
    <row r="123" spans="1:8" x14ac:dyDescent="0.25">
      <c r="E123" t="str">
        <f>"202010069395"</f>
        <v>202010069395</v>
      </c>
      <c r="F123" t="str">
        <f>"ACCT#014737/ANIMAL SVC"</f>
        <v>ACCT#014737/ANIMAL SVC</v>
      </c>
      <c r="G123" s="1">
        <v>37.99</v>
      </c>
      <c r="H123" t="str">
        <f>"ACCT#014737/ANIMAL SVC"</f>
        <v>ACCT#014737/ANIMAL SVC</v>
      </c>
    </row>
    <row r="124" spans="1:8" x14ac:dyDescent="0.25">
      <c r="E124" t="str">
        <f>"202010069396"</f>
        <v>202010069396</v>
      </c>
      <c r="F124" t="str">
        <f>"ACCT#012231/DIST JUDGE OFFICE"</f>
        <v>ACCT#012231/DIST JUDGE OFFICE</v>
      </c>
      <c r="G124" s="1">
        <v>10</v>
      </c>
      <c r="H124" t="str">
        <f>"ACCT#012231/DIST JUDGE OFFICE"</f>
        <v>ACCT#012231/DIST JUDGE OFFICE</v>
      </c>
    </row>
    <row r="125" spans="1:8" x14ac:dyDescent="0.25">
      <c r="E125" t="str">
        <f>"202010069397"</f>
        <v>202010069397</v>
      </c>
      <c r="F125" t="str">
        <f>"ACCT#011955/DIST JUDGE"</f>
        <v>ACCT#011955/DIST JUDGE</v>
      </c>
      <c r="G125" s="1">
        <v>54</v>
      </c>
      <c r="H125" t="str">
        <f>"ACCT#011955/DIST JUDGE"</f>
        <v>ACCT#011955/DIST JUDGE</v>
      </c>
    </row>
    <row r="126" spans="1:8" x14ac:dyDescent="0.25">
      <c r="E126" t="str">
        <f>"202010069398"</f>
        <v>202010069398</v>
      </c>
      <c r="F126" t="str">
        <f>"ACCT#012571/TREASURER"</f>
        <v>ACCT#012571/TREASURER</v>
      </c>
      <c r="G126" s="1">
        <v>16.5</v>
      </c>
      <c r="H126" t="str">
        <f>"ACCT#012571/TREASURER"</f>
        <v>ACCT#012571/TREASURER</v>
      </c>
    </row>
    <row r="127" spans="1:8" x14ac:dyDescent="0.25">
      <c r="E127" t="str">
        <f>"202010069466"</f>
        <v>202010069466</v>
      </c>
      <c r="F127" t="str">
        <f>"ACCT#014877/INDIGENT HLTH"</f>
        <v>ACCT#014877/INDIGENT HLTH</v>
      </c>
      <c r="G127" s="1">
        <v>41.99</v>
      </c>
      <c r="H127" t="str">
        <f>"ACCT#014877/INDIGENT HLTH"</f>
        <v>ACCT#014877/INDIGENT HLTH</v>
      </c>
    </row>
    <row r="128" spans="1:8" x14ac:dyDescent="0.25">
      <c r="E128" t="str">
        <f>"202010069467"</f>
        <v>202010069467</v>
      </c>
      <c r="F128" t="str">
        <f>"ACCT#013393/HUMAN RESOURCES"</f>
        <v>ACCT#013393/HUMAN RESOURCES</v>
      </c>
      <c r="G128" s="1">
        <v>35.049999999999997</v>
      </c>
      <c r="H128" t="str">
        <f>"ACCT#013393/HUMAN RESOURCES"</f>
        <v>ACCT#013393/HUMAN RESOURCES</v>
      </c>
    </row>
    <row r="129" spans="1:8" x14ac:dyDescent="0.25">
      <c r="E129" t="str">
        <f>"202010069478"</f>
        <v>202010069478</v>
      </c>
      <c r="F129" t="str">
        <f>"ACCT#010835/COMMISSIONER PCT 1"</f>
        <v>ACCT#010835/COMMISSIONER PCT 1</v>
      </c>
      <c r="G129" s="1">
        <v>9</v>
      </c>
      <c r="H129" t="str">
        <f>"ACCT#010835/COMMISSIONER PCT 1"</f>
        <v>ACCT#010835/COMMISSIONER PCT 1</v>
      </c>
    </row>
    <row r="130" spans="1:8" x14ac:dyDescent="0.25">
      <c r="E130" t="str">
        <f>"202010069483"</f>
        <v>202010069483</v>
      </c>
      <c r="F130" t="str">
        <f>"ACCT#015199/JP#1"</f>
        <v>ACCT#015199/JP#1</v>
      </c>
      <c r="G130" s="1">
        <v>19.489999999999998</v>
      </c>
      <c r="H130" t="str">
        <f>"ACCT#015199/JP#1"</f>
        <v>ACCT#015199/JP#1</v>
      </c>
    </row>
    <row r="131" spans="1:8" x14ac:dyDescent="0.25">
      <c r="E131" t="str">
        <f>"202010069484"</f>
        <v>202010069484</v>
      </c>
      <c r="F131" t="str">
        <f>"ACCT#015476/PURCHASING DEPT"</f>
        <v>ACCT#015476/PURCHASING DEPT</v>
      </c>
      <c r="G131" s="1">
        <v>25.99</v>
      </c>
      <c r="H131" t="str">
        <f>"ACCT#015476/PURCHASING DEPT"</f>
        <v>ACCT#015476/PURCHASING DEPT</v>
      </c>
    </row>
    <row r="132" spans="1:8" x14ac:dyDescent="0.25">
      <c r="E132" t="str">
        <f>"202010069487"</f>
        <v>202010069487</v>
      </c>
      <c r="F132" t="str">
        <f>"ACCT#010602/COMMISSIONER OFF"</f>
        <v>ACCT#010602/COMMISSIONER OFF</v>
      </c>
      <c r="G132" s="1">
        <v>16.5</v>
      </c>
      <c r="H132" t="str">
        <f>"ACCT#010602/COMMISSIONER OFF"</f>
        <v>ACCT#010602/COMMISSIONER OFF</v>
      </c>
    </row>
    <row r="133" spans="1:8" x14ac:dyDescent="0.25">
      <c r="A133" t="s">
        <v>31</v>
      </c>
      <c r="B133">
        <v>133430</v>
      </c>
      <c r="C133" s="1">
        <v>470.99</v>
      </c>
      <c r="D133" s="3">
        <v>44130</v>
      </c>
      <c r="E133" t="str">
        <f>"130199"</f>
        <v>130199</v>
      </c>
      <c r="F133" t="str">
        <f>"CUST#015510/PCT#1"</f>
        <v>CUST#015510/PCT#1</v>
      </c>
      <c r="G133" s="1">
        <v>470.99</v>
      </c>
      <c r="H133" t="str">
        <f>"CUST#015510/PCT#1"</f>
        <v>CUST#015510/PCT#1</v>
      </c>
    </row>
    <row r="134" spans="1:8" x14ac:dyDescent="0.25">
      <c r="A134" t="s">
        <v>339</v>
      </c>
      <c r="B134">
        <v>133313</v>
      </c>
      <c r="C134" s="1">
        <v>287</v>
      </c>
      <c r="D134" s="3">
        <v>44117</v>
      </c>
      <c r="E134" t="str">
        <f>"202010069400"</f>
        <v>202010069400</v>
      </c>
      <c r="F134" t="str">
        <f>"ACCT#7700010027/28 LDS WATER"</f>
        <v>ACCT#7700010027/28 LDS WATER</v>
      </c>
      <c r="G134" s="1">
        <v>287</v>
      </c>
      <c r="H134" t="str">
        <f>"ACCT#7700010027/28 LDS WATER"</f>
        <v>ACCT#7700010027/28 LDS WATER</v>
      </c>
    </row>
    <row r="135" spans="1:8" x14ac:dyDescent="0.25">
      <c r="A135" t="s">
        <v>339</v>
      </c>
      <c r="B135">
        <v>133417</v>
      </c>
      <c r="C135" s="1">
        <v>58.29</v>
      </c>
      <c r="D135" s="3">
        <v>44118</v>
      </c>
      <c r="E135" t="str">
        <f>"202010149591"</f>
        <v>202010149591</v>
      </c>
      <c r="F135" t="str">
        <f>"ACCT#0201855301 / 10052020"</f>
        <v>ACCT#0201855301 / 10052020</v>
      </c>
      <c r="G135" s="1">
        <v>33.01</v>
      </c>
      <c r="H135" t="str">
        <f>"ACCT#0201855301 / 10052020"</f>
        <v>ACCT#0201855301 / 10052020</v>
      </c>
    </row>
    <row r="136" spans="1:8" x14ac:dyDescent="0.25">
      <c r="E136" t="str">
        <f>"202010149592"</f>
        <v>202010149592</v>
      </c>
      <c r="F136" t="str">
        <f>"ACCT#0201891401 / 10052020"</f>
        <v>ACCT#0201891401 / 10052020</v>
      </c>
      <c r="G136" s="1">
        <v>25.28</v>
      </c>
      <c r="H136" t="str">
        <f>"ACCT#0201891401 / 10052020"</f>
        <v>ACCT#0201891401 / 10052020</v>
      </c>
    </row>
    <row r="137" spans="1:8" x14ac:dyDescent="0.25">
      <c r="A137" t="s">
        <v>339</v>
      </c>
      <c r="B137">
        <v>133431</v>
      </c>
      <c r="C137" s="1">
        <v>512.5</v>
      </c>
      <c r="D137" s="3">
        <v>44130</v>
      </c>
      <c r="E137" t="str">
        <f>"202010159613"</f>
        <v>202010159613</v>
      </c>
      <c r="F137" t="str">
        <f>"ACCT#7700010024/PCT#1"</f>
        <v>ACCT#7700010024/PCT#1</v>
      </c>
      <c r="G137" s="1">
        <v>20.5</v>
      </c>
      <c r="H137" t="str">
        <f>"ACCT#7700010024/PCT#1"</f>
        <v>ACCT#7700010024/PCT#1</v>
      </c>
    </row>
    <row r="138" spans="1:8" x14ac:dyDescent="0.25">
      <c r="E138" t="str">
        <f>"202010159614"</f>
        <v>202010159614</v>
      </c>
      <c r="F138" t="str">
        <f>"ACCT#7700010025/12 LDS WATER"</f>
        <v>ACCT#7700010025/12 LDS WATER</v>
      </c>
      <c r="G138" s="1">
        <v>123</v>
      </c>
      <c r="H138" t="str">
        <f>"ACCT#7700010025/12 LDS WATER"</f>
        <v>ACCT#7700010025/12 LDS WATER</v>
      </c>
    </row>
    <row r="139" spans="1:8" x14ac:dyDescent="0.25">
      <c r="E139" t="str">
        <f>"202010159615"</f>
        <v>202010159615</v>
      </c>
      <c r="F139" t="str">
        <f>"ACCT#7700010026/36 LD WATER/P3"</f>
        <v>ACCT#7700010026/36 LD WATER/P3</v>
      </c>
      <c r="G139" s="1">
        <v>369</v>
      </c>
      <c r="H139" t="str">
        <f>"ACCT#7700010026/36 LD WATER/P3"</f>
        <v>ACCT#7700010026/36 LD WATER/P3</v>
      </c>
    </row>
    <row r="140" spans="1:8" x14ac:dyDescent="0.25">
      <c r="A140" t="s">
        <v>339</v>
      </c>
      <c r="B140">
        <v>133560</v>
      </c>
      <c r="C140" s="1">
        <v>1387.19</v>
      </c>
      <c r="D140" s="3">
        <v>44132</v>
      </c>
      <c r="E140" t="str">
        <f>"202010289799"</f>
        <v>202010289799</v>
      </c>
      <c r="F140" t="str">
        <f>"ACCT#0102120801 / 10202020"</f>
        <v>ACCT#0102120801 / 10202020</v>
      </c>
      <c r="G140" s="1">
        <v>573.67999999999995</v>
      </c>
      <c r="H140" t="str">
        <f>"ACCT#0102120801 / 10202020"</f>
        <v>ACCT#0102120801 / 10202020</v>
      </c>
    </row>
    <row r="141" spans="1:8" x14ac:dyDescent="0.25">
      <c r="E141" t="str">
        <f>"202010289800"</f>
        <v>202010289800</v>
      </c>
      <c r="F141" t="str">
        <f>"ACCT#0400785803 / 10202020"</f>
        <v>ACCT#0400785803 / 10202020</v>
      </c>
      <c r="G141" s="1">
        <v>221.52</v>
      </c>
      <c r="H141" t="str">
        <f>"ACCT#0400785803 / 10202020"</f>
        <v>ACCT#0400785803 / 10202020</v>
      </c>
    </row>
    <row r="142" spans="1:8" x14ac:dyDescent="0.25">
      <c r="E142" t="str">
        <f>"202010289801"</f>
        <v>202010289801</v>
      </c>
      <c r="F142" t="str">
        <f>"ACCT#0401408501 / 10202020"</f>
        <v>ACCT#0401408501 / 10202020</v>
      </c>
      <c r="G142" s="1">
        <v>522.48</v>
      </c>
      <c r="H142" t="str">
        <f>"ACCT#0401408501 / 10202020"</f>
        <v>ACCT#0401408501 / 10202020</v>
      </c>
    </row>
    <row r="143" spans="1:8" x14ac:dyDescent="0.25">
      <c r="E143" t="str">
        <f>"202010289802"</f>
        <v>202010289802</v>
      </c>
      <c r="F143" t="str">
        <f>"ACCT#0800042801 / 10202020"</f>
        <v>ACCT#0800042801 / 10202020</v>
      </c>
      <c r="G143" s="1">
        <v>43.46</v>
      </c>
      <c r="H143" t="str">
        <f>"ACCT#0800042801 / 10202020"</f>
        <v>ACCT#0800042801 / 10202020</v>
      </c>
    </row>
    <row r="144" spans="1:8" x14ac:dyDescent="0.25">
      <c r="E144" t="str">
        <f>"202010289803"</f>
        <v>202010289803</v>
      </c>
      <c r="F144" t="str">
        <f>"ACCT#0802361501 / 10202020"</f>
        <v>ACCT#0802361501 / 10202020</v>
      </c>
      <c r="G144" s="1">
        <v>26.05</v>
      </c>
      <c r="H144" t="str">
        <f>"ACCT#0802361501 / 10202020"</f>
        <v>ACCT#0802361501 / 10202020</v>
      </c>
    </row>
    <row r="145" spans="1:8" x14ac:dyDescent="0.25">
      <c r="A145" t="s">
        <v>338</v>
      </c>
      <c r="B145">
        <v>133314</v>
      </c>
      <c r="C145" s="1">
        <v>2388</v>
      </c>
      <c r="D145" s="3">
        <v>44117</v>
      </c>
      <c r="E145" t="str">
        <f>"12613"</f>
        <v>12613</v>
      </c>
      <c r="F145" t="str">
        <f>"Renewal"</f>
        <v>Renewal</v>
      </c>
      <c r="G145" s="1">
        <v>2388</v>
      </c>
      <c r="H145" t="str">
        <f>"Renewal"</f>
        <v>Renewal</v>
      </c>
    </row>
    <row r="146" spans="1:8" x14ac:dyDescent="0.25">
      <c r="A146" t="s">
        <v>18</v>
      </c>
      <c r="B146">
        <v>133432</v>
      </c>
      <c r="C146" s="1">
        <v>16268.86</v>
      </c>
      <c r="D146" s="3">
        <v>44130</v>
      </c>
      <c r="E146" t="str">
        <f>"202010219746"</f>
        <v>202010219746</v>
      </c>
      <c r="F146" t="str">
        <f>"JAIL MEDICAL"</f>
        <v>JAIL MEDICAL</v>
      </c>
      <c r="G146" s="1">
        <v>16268.86</v>
      </c>
      <c r="H146" t="str">
        <f>"JAIL MEDICAL"</f>
        <v>JAIL MEDICAL</v>
      </c>
    </row>
    <row r="147" spans="1:8" x14ac:dyDescent="0.25">
      <c r="A147" t="s">
        <v>337</v>
      </c>
      <c r="B147">
        <v>133315</v>
      </c>
      <c r="C147" s="1">
        <v>5153.84</v>
      </c>
      <c r="D147" s="3">
        <v>44117</v>
      </c>
      <c r="E147" t="str">
        <f>"202009309114"</f>
        <v>202009309114</v>
      </c>
      <c r="F147" t="str">
        <f>"ACCT#512A49-0048 193 3"</f>
        <v>ACCT#512A49-0048 193 3</v>
      </c>
      <c r="G147" s="1">
        <v>5153.84</v>
      </c>
      <c r="H147" t="str">
        <f>"ACCT#512A49-0048 193 3"</f>
        <v>ACCT#512A49-0048 193 3</v>
      </c>
    </row>
    <row r="148" spans="1:8" x14ac:dyDescent="0.25">
      <c r="E148" t="str">
        <f>""</f>
        <v/>
      </c>
      <c r="F148" t="str">
        <f>""</f>
        <v/>
      </c>
      <c r="H148" t="str">
        <f>"ACCT#512A49-0048 193 3"</f>
        <v>ACCT#512A49-0048 193 3</v>
      </c>
    </row>
    <row r="149" spans="1:8" x14ac:dyDescent="0.25">
      <c r="E149" t="str">
        <f>""</f>
        <v/>
      </c>
      <c r="F149" t="str">
        <f>""</f>
        <v/>
      </c>
      <c r="H149" t="str">
        <f>"ACCT#512A49-0048 193 3"</f>
        <v>ACCT#512A49-0048 193 3</v>
      </c>
    </row>
    <row r="150" spans="1:8" x14ac:dyDescent="0.25">
      <c r="E150" t="str">
        <f>""</f>
        <v/>
      </c>
      <c r="F150" t="str">
        <f>""</f>
        <v/>
      </c>
      <c r="H150" t="str">
        <f>"ACCT#512A49-0048 193 3"</f>
        <v>ACCT#512A49-0048 193 3</v>
      </c>
    </row>
    <row r="151" spans="1:8" x14ac:dyDescent="0.25">
      <c r="A151" t="s">
        <v>337</v>
      </c>
      <c r="B151">
        <v>133433</v>
      </c>
      <c r="C151" s="1">
        <v>745.27</v>
      </c>
      <c r="D151" s="3">
        <v>44130</v>
      </c>
      <c r="E151" t="str">
        <f>"202010219743"</f>
        <v>202010219743</v>
      </c>
      <c r="F151" t="str">
        <f>"ACCT#512 308-9870 530 7"</f>
        <v>ACCT#512 308-9870 530 7</v>
      </c>
      <c r="G151" s="1">
        <v>745.27</v>
      </c>
      <c r="H151" t="str">
        <f>"ACCT#512 308-9870 530 7"</f>
        <v>ACCT#512 308-9870 530 7</v>
      </c>
    </row>
    <row r="152" spans="1:8" x14ac:dyDescent="0.25">
      <c r="A152" t="s">
        <v>337</v>
      </c>
      <c r="B152">
        <v>133434</v>
      </c>
      <c r="C152" s="1">
        <v>175</v>
      </c>
      <c r="D152" s="3">
        <v>44130</v>
      </c>
      <c r="E152" t="str">
        <f>"358894"</f>
        <v>358894</v>
      </c>
      <c r="F152" t="str">
        <f>"INV 358894"</f>
        <v>INV 358894</v>
      </c>
      <c r="G152" s="1">
        <v>175</v>
      </c>
      <c r="H152" t="str">
        <f>"INV 358894"</f>
        <v>INV 358894</v>
      </c>
    </row>
    <row r="153" spans="1:8" x14ac:dyDescent="0.25">
      <c r="A153" t="s">
        <v>337</v>
      </c>
      <c r="B153">
        <v>133435</v>
      </c>
      <c r="C153" s="1">
        <v>6539.52</v>
      </c>
      <c r="D153" s="3">
        <v>44130</v>
      </c>
      <c r="E153" t="str">
        <f>"0272567507"</f>
        <v>0272567507</v>
      </c>
      <c r="F153" t="str">
        <f>"ACCT#831-000-7919 623"</f>
        <v>ACCT#831-000-7919 623</v>
      </c>
      <c r="G153" s="1">
        <v>2000.38</v>
      </c>
      <c r="H153" t="str">
        <f>"ACCT#831-000-7919 623"</f>
        <v>ACCT#831-000-7919 623</v>
      </c>
    </row>
    <row r="154" spans="1:8" x14ac:dyDescent="0.25">
      <c r="E154" t="str">
        <f>"0512666506"</f>
        <v>0512666506</v>
      </c>
      <c r="F154" t="str">
        <f>"ACCT#831-000-7218 923"</f>
        <v>ACCT#831-000-7218 923</v>
      </c>
      <c r="G154" s="1">
        <v>874.25</v>
      </c>
      <c r="H154" t="str">
        <f>"ACCT#831-000-7218 923"</f>
        <v>ACCT#831-000-7218 923</v>
      </c>
    </row>
    <row r="155" spans="1:8" x14ac:dyDescent="0.25">
      <c r="E155" t="str">
        <f>"1526356505"</f>
        <v>1526356505</v>
      </c>
      <c r="F155" t="str">
        <f>"ACCT#831-000-6084 095"</f>
        <v>ACCT#831-000-6084 095</v>
      </c>
      <c r="G155" s="1">
        <v>1684.69</v>
      </c>
      <c r="H155" t="str">
        <f>"ACCT#831-000-6084 095"</f>
        <v>ACCT#831-000-6084 095</v>
      </c>
    </row>
    <row r="156" spans="1:8" x14ac:dyDescent="0.25">
      <c r="E156" t="str">
        <f>"9874707503"</f>
        <v>9874707503</v>
      </c>
      <c r="F156" t="str">
        <f>"ACCT#831-000-9850 451"</f>
        <v>ACCT#831-000-9850 451</v>
      </c>
      <c r="G156" s="1">
        <v>1980.2</v>
      </c>
      <c r="H156" t="str">
        <f>"ACCT#831-000-9850 451"</f>
        <v>ACCT#831-000-9850 451</v>
      </c>
    </row>
    <row r="157" spans="1:8" x14ac:dyDescent="0.25">
      <c r="A157" t="s">
        <v>30</v>
      </c>
      <c r="B157">
        <v>133316</v>
      </c>
      <c r="C157" s="1">
        <v>4246.9399999999996</v>
      </c>
      <c r="D157" s="3">
        <v>44117</v>
      </c>
      <c r="E157" t="str">
        <f>"287290524359X0927"</f>
        <v>287290524359X0927</v>
      </c>
      <c r="F157" t="str">
        <f>"ACCT#287290524359/FAN#58143538"</f>
        <v>ACCT#287290524359/FAN#58143538</v>
      </c>
      <c r="G157" s="1">
        <v>4246.9399999999996</v>
      </c>
      <c r="H157" t="str">
        <f>"ACCT#287290524359/FAN#58143538"</f>
        <v>ACCT#287290524359/FAN#58143538</v>
      </c>
    </row>
    <row r="158" spans="1:8" x14ac:dyDescent="0.25">
      <c r="E158" t="str">
        <f>""</f>
        <v/>
      </c>
      <c r="F158" t="str">
        <f>""</f>
        <v/>
      </c>
      <c r="H158" t="str">
        <f>"ACCT#287290524359/FAN#58143538"</f>
        <v>ACCT#287290524359/FAN#58143538</v>
      </c>
    </row>
    <row r="159" spans="1:8" x14ac:dyDescent="0.25">
      <c r="E159" t="str">
        <f>""</f>
        <v/>
      </c>
      <c r="F159" t="str">
        <f>""</f>
        <v/>
      </c>
      <c r="H159" t="str">
        <f>"ACCT#287290524359/FAN#58143538"</f>
        <v>ACCT#287290524359/FAN#58143538</v>
      </c>
    </row>
    <row r="160" spans="1:8" x14ac:dyDescent="0.25">
      <c r="E160" t="str">
        <f>""</f>
        <v/>
      </c>
      <c r="F160" t="str">
        <f>""</f>
        <v/>
      </c>
      <c r="H160" t="str">
        <f>"ACCT#287290524359/FAN#58143538"</f>
        <v>ACCT#287290524359/FAN#58143538</v>
      </c>
    </row>
    <row r="161" spans="1:8" x14ac:dyDescent="0.25">
      <c r="E161" t="str">
        <f>""</f>
        <v/>
      </c>
      <c r="F161" t="str">
        <f>""</f>
        <v/>
      </c>
      <c r="H161" t="str">
        <f>"ACCT#287290524359/FAN#58143538"</f>
        <v>ACCT#287290524359/FAN#58143538</v>
      </c>
    </row>
    <row r="162" spans="1:8" x14ac:dyDescent="0.25">
      <c r="E162" t="str">
        <f>""</f>
        <v/>
      </c>
      <c r="F162" t="str">
        <f>""</f>
        <v/>
      </c>
      <c r="H162" t="str">
        <f>"ACCT#287290524359/FAN#58143538"</f>
        <v>ACCT#287290524359/FAN#58143538</v>
      </c>
    </row>
    <row r="163" spans="1:8" x14ac:dyDescent="0.25">
      <c r="E163" t="str">
        <f>""</f>
        <v/>
      </c>
      <c r="F163" t="str">
        <f>""</f>
        <v/>
      </c>
      <c r="H163" t="str">
        <f>"ACCT#287290524359/FAN#58143538"</f>
        <v>ACCT#287290524359/FAN#58143538</v>
      </c>
    </row>
    <row r="164" spans="1:8" x14ac:dyDescent="0.25">
      <c r="E164" t="str">
        <f>""</f>
        <v/>
      </c>
      <c r="F164" t="str">
        <f>""</f>
        <v/>
      </c>
      <c r="H164" t="str">
        <f>"ACCT#287290524359/FAN#58143538"</f>
        <v>ACCT#287290524359/FAN#58143538</v>
      </c>
    </row>
    <row r="165" spans="1:8" x14ac:dyDescent="0.25">
      <c r="E165" t="str">
        <f>""</f>
        <v/>
      </c>
      <c r="F165" t="str">
        <f>""</f>
        <v/>
      </c>
      <c r="H165" t="str">
        <f>"ACCT#287290524359/FAN#58143538"</f>
        <v>ACCT#287290524359/FAN#58143538</v>
      </c>
    </row>
    <row r="166" spans="1:8" x14ac:dyDescent="0.25">
      <c r="A166" t="s">
        <v>30</v>
      </c>
      <c r="B166">
        <v>133436</v>
      </c>
      <c r="C166" s="1">
        <v>1688.29</v>
      </c>
      <c r="D166" s="3">
        <v>44130</v>
      </c>
      <c r="E166" t="str">
        <f>"287263291654X1020"</f>
        <v>287263291654X1020</v>
      </c>
      <c r="F166" t="str">
        <f>"ACCT#287263291654/FAN#06062279"</f>
        <v>ACCT#287263291654/FAN#06062279</v>
      </c>
      <c r="G166" s="1">
        <v>1424.24</v>
      </c>
      <c r="H166" t="str">
        <f>"ACCT#287263291654/FAN#06062279"</f>
        <v>ACCT#287263291654/FAN#06062279</v>
      </c>
    </row>
    <row r="167" spans="1:8" x14ac:dyDescent="0.25">
      <c r="E167" t="str">
        <f>""</f>
        <v/>
      </c>
      <c r="F167" t="str">
        <f>""</f>
        <v/>
      </c>
      <c r="H167" t="str">
        <f>"ACCT#287263291654/FAN#06062279"</f>
        <v>ACCT#287263291654/FAN#06062279</v>
      </c>
    </row>
    <row r="168" spans="1:8" x14ac:dyDescent="0.25">
      <c r="E168" t="str">
        <f>""</f>
        <v/>
      </c>
      <c r="F168" t="str">
        <f>""</f>
        <v/>
      </c>
      <c r="H168" t="str">
        <f>"ACCT#287263291654/FAN#06062279"</f>
        <v>ACCT#287263291654/FAN#06062279</v>
      </c>
    </row>
    <row r="169" spans="1:8" x14ac:dyDescent="0.25">
      <c r="E169" t="str">
        <f>""</f>
        <v/>
      </c>
      <c r="F169" t="str">
        <f>""</f>
        <v/>
      </c>
      <c r="H169" t="str">
        <f>"ACCT#287263291654/FAN#06062279"</f>
        <v>ACCT#287263291654/FAN#06062279</v>
      </c>
    </row>
    <row r="170" spans="1:8" x14ac:dyDescent="0.25">
      <c r="E170" t="str">
        <f>""</f>
        <v/>
      </c>
      <c r="F170" t="str">
        <f>""</f>
        <v/>
      </c>
      <c r="H170" t="str">
        <f>"ACCT#287263291654/FAN#06062279"</f>
        <v>ACCT#287263291654/FAN#06062279</v>
      </c>
    </row>
    <row r="171" spans="1:8" x14ac:dyDescent="0.25">
      <c r="E171" t="str">
        <f>""</f>
        <v/>
      </c>
      <c r="F171" t="str">
        <f>""</f>
        <v/>
      </c>
      <c r="H171" t="str">
        <f>"ACCT#287263291654/FAN#06062279"</f>
        <v>ACCT#287263291654/FAN#06062279</v>
      </c>
    </row>
    <row r="172" spans="1:8" x14ac:dyDescent="0.25">
      <c r="E172" t="str">
        <f>""</f>
        <v/>
      </c>
      <c r="F172" t="str">
        <f>""</f>
        <v/>
      </c>
      <c r="H172" t="str">
        <f>"ACCT#287263291654/FAN#06062279"</f>
        <v>ACCT#287263291654/FAN#06062279</v>
      </c>
    </row>
    <row r="173" spans="1:8" x14ac:dyDescent="0.25">
      <c r="E173" t="str">
        <f>""</f>
        <v/>
      </c>
      <c r="F173" t="str">
        <f>""</f>
        <v/>
      </c>
      <c r="H173" t="str">
        <f>"ACCT#287263291654/FAN#06062279"</f>
        <v>ACCT#287263291654/FAN#06062279</v>
      </c>
    </row>
    <row r="174" spans="1:8" x14ac:dyDescent="0.25">
      <c r="E174" t="str">
        <f>""</f>
        <v/>
      </c>
      <c r="F174" t="str">
        <f>""</f>
        <v/>
      </c>
      <c r="H174" t="str">
        <f>"ACCT#287263291654/FAN#06062279"</f>
        <v>ACCT#287263291654/FAN#06062279</v>
      </c>
    </row>
    <row r="175" spans="1:8" x14ac:dyDescent="0.25">
      <c r="E175" t="str">
        <f>""</f>
        <v/>
      </c>
      <c r="F175" t="str">
        <f>""</f>
        <v/>
      </c>
      <c r="H175" t="str">
        <f>"ACCT#287263291654/FAN#06062279"</f>
        <v>ACCT#287263291654/FAN#06062279</v>
      </c>
    </row>
    <row r="176" spans="1:8" x14ac:dyDescent="0.25">
      <c r="E176" t="str">
        <f>""</f>
        <v/>
      </c>
      <c r="F176" t="str">
        <f>""</f>
        <v/>
      </c>
      <c r="H176" t="str">
        <f>"ACCT#287263291654/FAN#06062279"</f>
        <v>ACCT#287263291654/FAN#06062279</v>
      </c>
    </row>
    <row r="177" spans="1:8" x14ac:dyDescent="0.25">
      <c r="E177" t="str">
        <f>""</f>
        <v/>
      </c>
      <c r="F177" t="str">
        <f>""</f>
        <v/>
      </c>
      <c r="H177" t="str">
        <f>"ACCT#287263291654/FAN#06062279"</f>
        <v>ACCT#287263291654/FAN#06062279</v>
      </c>
    </row>
    <row r="178" spans="1:8" x14ac:dyDescent="0.25">
      <c r="E178" t="str">
        <f>""</f>
        <v/>
      </c>
      <c r="F178" t="str">
        <f>""</f>
        <v/>
      </c>
      <c r="H178" t="str">
        <f>"ACCT#287263291654/FAN#06062279"</f>
        <v>ACCT#287263291654/FAN#06062279</v>
      </c>
    </row>
    <row r="179" spans="1:8" x14ac:dyDescent="0.25">
      <c r="E179" t="str">
        <f>""</f>
        <v/>
      </c>
      <c r="F179" t="str">
        <f>""</f>
        <v/>
      </c>
      <c r="H179" t="str">
        <f>"ACCT#287263291654/FAN#06062279"</f>
        <v>ACCT#287263291654/FAN#06062279</v>
      </c>
    </row>
    <row r="180" spans="1:8" x14ac:dyDescent="0.25">
      <c r="E180" t="str">
        <f>""</f>
        <v/>
      </c>
      <c r="F180" t="str">
        <f>""</f>
        <v/>
      </c>
      <c r="H180" t="str">
        <f>"ACCT#287263291654/FAN#06062279"</f>
        <v>ACCT#287263291654/FAN#06062279</v>
      </c>
    </row>
    <row r="181" spans="1:8" x14ac:dyDescent="0.25">
      <c r="E181" t="str">
        <f>""</f>
        <v/>
      </c>
      <c r="F181" t="str">
        <f>""</f>
        <v/>
      </c>
      <c r="H181" t="str">
        <f>"ACCT#287263291654/FAN#06062279"</f>
        <v>ACCT#287263291654/FAN#06062279</v>
      </c>
    </row>
    <row r="182" spans="1:8" x14ac:dyDescent="0.25">
      <c r="E182" t="str">
        <f>"287280903541X"</f>
        <v>287280903541X</v>
      </c>
      <c r="F182" t="str">
        <f>"INV 287280903541X10202020"</f>
        <v>INV 287280903541X10202020</v>
      </c>
      <c r="G182" s="1">
        <v>264.05</v>
      </c>
      <c r="H182" t="str">
        <f>"INV 287280903541X10202020"</f>
        <v>INV 287280903541X10202020</v>
      </c>
    </row>
    <row r="183" spans="1:8" x14ac:dyDescent="0.25">
      <c r="A183" t="s">
        <v>336</v>
      </c>
      <c r="B183">
        <v>133437</v>
      </c>
      <c r="C183" s="1">
        <v>1028.5899999999999</v>
      </c>
      <c r="D183" s="3">
        <v>44130</v>
      </c>
      <c r="E183" t="str">
        <f>"#0000198527"</f>
        <v>#0000198527</v>
      </c>
      <c r="F183" t="str">
        <f>"GATEHOUSE MEDIA TEXAS HOLDINGS"</f>
        <v>GATEHOUSE MEDIA TEXAS HOLDINGS</v>
      </c>
      <c r="G183" s="1">
        <v>232.74</v>
      </c>
      <c r="H183" t="str">
        <f>"ad #591091"</f>
        <v>ad #591091</v>
      </c>
    </row>
    <row r="184" spans="1:8" x14ac:dyDescent="0.25">
      <c r="E184" t="str">
        <f>"0000198527"</f>
        <v>0000198527</v>
      </c>
      <c r="F184" t="str">
        <f>"GATEHOUSE MEDIA TEXAS HOLDINGS"</f>
        <v>GATEHOUSE MEDIA TEXAS HOLDINGS</v>
      </c>
      <c r="G184" s="1">
        <v>297.39</v>
      </c>
      <c r="H184" t="str">
        <f>"ad #594922"</f>
        <v>ad #594922</v>
      </c>
    </row>
    <row r="185" spans="1:8" x14ac:dyDescent="0.25">
      <c r="E185" t="str">
        <f>""</f>
        <v/>
      </c>
      <c r="F185" t="str">
        <f>""</f>
        <v/>
      </c>
      <c r="H185" t="str">
        <f>"ad #594875"</f>
        <v>ad #594875</v>
      </c>
    </row>
    <row r="186" spans="1:8" x14ac:dyDescent="0.25">
      <c r="E186" t="str">
        <f>"494927"</f>
        <v>494927</v>
      </c>
      <c r="F186" t="str">
        <f>"Ad"</f>
        <v>Ad</v>
      </c>
      <c r="G186" s="1">
        <v>498.46</v>
      </c>
      <c r="H186" t="str">
        <f>"ad #494927"</f>
        <v>ad #494927</v>
      </c>
    </row>
    <row r="187" spans="1:8" x14ac:dyDescent="0.25">
      <c r="A187" t="s">
        <v>335</v>
      </c>
      <c r="B187">
        <v>133438</v>
      </c>
      <c r="C187" s="1">
        <v>46.73</v>
      </c>
      <c r="D187" s="3">
        <v>44130</v>
      </c>
      <c r="E187" t="str">
        <f>"202010219724"</f>
        <v>202010219724</v>
      </c>
      <c r="F187" t="str">
        <f>"INDIGENT HEALTH"</f>
        <v>INDIGENT HEALTH</v>
      </c>
      <c r="G187" s="1">
        <v>46.73</v>
      </c>
      <c r="H187" t="str">
        <f>"INDIGENT HEALTH"</f>
        <v>INDIGENT HEALTH</v>
      </c>
    </row>
    <row r="188" spans="1:8" x14ac:dyDescent="0.25">
      <c r="A188" t="s">
        <v>334</v>
      </c>
      <c r="B188">
        <v>133439</v>
      </c>
      <c r="C188" s="1">
        <v>2206.8000000000002</v>
      </c>
      <c r="D188" s="3">
        <v>44130</v>
      </c>
      <c r="E188" t="str">
        <f>"202010209703"</f>
        <v>202010209703</v>
      </c>
      <c r="F188" t="str">
        <f>"Novus"</f>
        <v>Novus</v>
      </c>
      <c r="G188" s="1">
        <v>2206.8000000000002</v>
      </c>
      <c r="H188" t="str">
        <f>"Novus 1 Cleaner"</f>
        <v>Novus 1 Cleaner</v>
      </c>
    </row>
    <row r="189" spans="1:8" x14ac:dyDescent="0.25">
      <c r="E189" t="str">
        <f>""</f>
        <v/>
      </c>
      <c r="F189" t="str">
        <f>""</f>
        <v/>
      </c>
      <c r="H189" t="str">
        <f>"Novus 2 Polish"</f>
        <v>Novus 2 Polish</v>
      </c>
    </row>
    <row r="190" spans="1:8" x14ac:dyDescent="0.25">
      <c r="E190" t="str">
        <f>""</f>
        <v/>
      </c>
      <c r="F190" t="str">
        <f>""</f>
        <v/>
      </c>
      <c r="H190" t="str">
        <f>"Novus 3 Polish"</f>
        <v>Novus 3 Polish</v>
      </c>
    </row>
    <row r="191" spans="1:8" x14ac:dyDescent="0.25">
      <c r="A191" t="s">
        <v>333</v>
      </c>
      <c r="B191">
        <v>133440</v>
      </c>
      <c r="C191" s="1">
        <v>446.35</v>
      </c>
      <c r="D191" s="3">
        <v>44130</v>
      </c>
      <c r="E191" t="str">
        <f>"156717"</f>
        <v>156717</v>
      </c>
      <c r="F191" t="str">
        <f>"PART#4840-01N/PCT#3"</f>
        <v>PART#4840-01N/PCT#3</v>
      </c>
      <c r="G191" s="1">
        <v>446.35</v>
      </c>
      <c r="H191" t="str">
        <f>"PART#4840-01N/PCT#3"</f>
        <v>PART#4840-01N/PCT#3</v>
      </c>
    </row>
    <row r="192" spans="1:8" x14ac:dyDescent="0.25">
      <c r="A192" t="s">
        <v>332</v>
      </c>
      <c r="B192">
        <v>133441</v>
      </c>
      <c r="C192" s="1">
        <v>22.99</v>
      </c>
      <c r="D192" s="3">
        <v>44130</v>
      </c>
      <c r="E192" t="str">
        <f>"134062"</f>
        <v>134062</v>
      </c>
      <c r="F192" t="str">
        <f>"INV 134062"</f>
        <v>INV 134062</v>
      </c>
      <c r="G192" s="1">
        <v>22.99</v>
      </c>
      <c r="H192" t="str">
        <f>"INV 134062"</f>
        <v>INV 134062</v>
      </c>
    </row>
    <row r="193" spans="1:8" x14ac:dyDescent="0.25">
      <c r="A193" t="s">
        <v>331</v>
      </c>
      <c r="B193">
        <v>3354</v>
      </c>
      <c r="C193" s="1">
        <v>411.99</v>
      </c>
      <c r="D193" s="3">
        <v>44118</v>
      </c>
      <c r="E193" t="str">
        <f>"202010019125"</f>
        <v>202010019125</v>
      </c>
      <c r="F193" t="str">
        <f>"CUST ID:0011/PCT#3"</f>
        <v>CUST ID:0011/PCT#3</v>
      </c>
      <c r="G193" s="1">
        <v>132.5</v>
      </c>
      <c r="H193" t="str">
        <f>"CUST ID:0011/PCT#3"</f>
        <v>CUST ID:0011/PCT#3</v>
      </c>
    </row>
    <row r="194" spans="1:8" x14ac:dyDescent="0.25">
      <c r="E194" t="str">
        <f>"202010079510"</f>
        <v>202010079510</v>
      </c>
      <c r="F194" t="str">
        <f>"CUST ID:0009/PCT#1"</f>
        <v>CUST ID:0009/PCT#1</v>
      </c>
      <c r="G194" s="1">
        <v>241.49</v>
      </c>
      <c r="H194" t="str">
        <f>"CUST ID:0009/PCT#1"</f>
        <v>CUST ID:0009/PCT#1</v>
      </c>
    </row>
    <row r="195" spans="1:8" x14ac:dyDescent="0.25">
      <c r="E195" t="str">
        <f>"375787"</f>
        <v>375787</v>
      </c>
      <c r="F195" t="str">
        <f>"CUST ID:0010/PCT#2"</f>
        <v>CUST ID:0010/PCT#2</v>
      </c>
      <c r="G195" s="1">
        <v>38</v>
      </c>
      <c r="H195" t="str">
        <f>"CUST ID:0010/PCT#2"</f>
        <v>CUST ID:0010/PCT#2</v>
      </c>
    </row>
    <row r="196" spans="1:8" x14ac:dyDescent="0.25">
      <c r="A196" t="s">
        <v>29</v>
      </c>
      <c r="B196">
        <v>3392</v>
      </c>
      <c r="C196" s="1">
        <v>200</v>
      </c>
      <c r="D196" s="3">
        <v>44131</v>
      </c>
      <c r="E196" t="str">
        <f>"1615"</f>
        <v>1615</v>
      </c>
      <c r="F196" t="str">
        <f>"HAULED BEDDING SAND/PCT#1"</f>
        <v>HAULED BEDDING SAND/PCT#1</v>
      </c>
      <c r="G196" s="1">
        <v>200</v>
      </c>
      <c r="H196" t="str">
        <f>"HAULED BEDDING SAND/PCT#1"</f>
        <v>HAULED BEDDING SAND/PCT#1</v>
      </c>
    </row>
    <row r="197" spans="1:8" x14ac:dyDescent="0.25">
      <c r="A197" t="s">
        <v>330</v>
      </c>
      <c r="B197">
        <v>133317</v>
      </c>
      <c r="C197" s="1">
        <v>90</v>
      </c>
      <c r="D197" s="3">
        <v>44117</v>
      </c>
      <c r="E197" t="str">
        <f>"202010019130"</f>
        <v>202010019130</v>
      </c>
      <c r="F197" t="str">
        <f>"REIMBURSE BAIL BOND COUPONS"</f>
        <v>REIMBURSE BAIL BOND COUPONS</v>
      </c>
      <c r="G197" s="1">
        <v>90</v>
      </c>
      <c r="H197" t="str">
        <f>"REIMBURSE BAIL BOND COUPONS"</f>
        <v>REIMBURSE BAIL BOND COUPONS</v>
      </c>
    </row>
    <row r="198" spans="1:8" x14ac:dyDescent="0.25">
      <c r="A198" t="s">
        <v>329</v>
      </c>
      <c r="B198">
        <v>133318</v>
      </c>
      <c r="C198" s="1">
        <v>25000</v>
      </c>
      <c r="D198" s="3">
        <v>44117</v>
      </c>
      <c r="E198" t="str">
        <f>"202010059346"</f>
        <v>202010059346</v>
      </c>
      <c r="F198" t="str">
        <f>"FY20-21"</f>
        <v>FY20-21</v>
      </c>
      <c r="G198" s="1">
        <v>25000</v>
      </c>
      <c r="H198" t="str">
        <f>"FY20-21"</f>
        <v>FY20-21</v>
      </c>
    </row>
    <row r="199" spans="1:8" x14ac:dyDescent="0.25">
      <c r="A199" t="s">
        <v>328</v>
      </c>
      <c r="B199">
        <v>133319</v>
      </c>
      <c r="C199" s="1">
        <v>6273</v>
      </c>
      <c r="D199" s="3">
        <v>44117</v>
      </c>
      <c r="E199" t="str">
        <f>"202009309109"</f>
        <v>202009309109</v>
      </c>
      <c r="F199" t="str">
        <f>"GOVDEALS SEIZED AUCT PROCEEDS"</f>
        <v>GOVDEALS SEIZED AUCT PROCEEDS</v>
      </c>
      <c r="G199" s="1">
        <v>3908</v>
      </c>
      <c r="H199" t="str">
        <f>"GOV DEALS SEIZED AUCT PROCEEDS"</f>
        <v>GOV DEALS SEIZED AUCT PROCEEDS</v>
      </c>
    </row>
    <row r="200" spans="1:8" x14ac:dyDescent="0.25">
      <c r="E200" t="str">
        <f>"202009309110"</f>
        <v>202009309110</v>
      </c>
      <c r="F200" t="str">
        <f>"GOVDEALS SEIZED AUCT PROCEEDS"</f>
        <v>GOVDEALS SEIZED AUCT PROCEEDS</v>
      </c>
      <c r="G200" s="1">
        <v>2088</v>
      </c>
      <c r="H200" t="str">
        <f>"GOVDEALS SEIZED AUCT PROCEEDS"</f>
        <v>GOVDEALS SEIZED AUCT PROCEEDS</v>
      </c>
    </row>
    <row r="201" spans="1:8" x14ac:dyDescent="0.25">
      <c r="E201" t="str">
        <f>"202010069392"</f>
        <v>202010069392</v>
      </c>
      <c r="F201" t="str">
        <f>"GOV DEALS SEIZED AUCT PROCEEDS"</f>
        <v>GOV DEALS SEIZED AUCT PROCEEDS</v>
      </c>
      <c r="G201" s="1">
        <v>277</v>
      </c>
      <c r="H201" t="str">
        <f>"PROCEEDS FROM AUCTION"</f>
        <v>PROCEEDS FROM AUCTION</v>
      </c>
    </row>
    <row r="202" spans="1:8" x14ac:dyDescent="0.25">
      <c r="A202" t="s">
        <v>28</v>
      </c>
      <c r="B202">
        <v>3424</v>
      </c>
      <c r="C202" s="1">
        <v>871.44</v>
      </c>
      <c r="D202" s="3">
        <v>44131</v>
      </c>
      <c r="E202" t="str">
        <f>"202010199628"</f>
        <v>202010199628</v>
      </c>
      <c r="F202" t="str">
        <f>"ACCT#BC01"</f>
        <v>ACCT#BC01</v>
      </c>
      <c r="G202" s="1">
        <v>871.44</v>
      </c>
      <c r="H202" t="str">
        <f>"ACCT#BC01"</f>
        <v>ACCT#BC01</v>
      </c>
    </row>
    <row r="203" spans="1:8" x14ac:dyDescent="0.25">
      <c r="E203" t="str">
        <f>""</f>
        <v/>
      </c>
      <c r="F203" t="str">
        <f>""</f>
        <v/>
      </c>
      <c r="H203" t="str">
        <f>"ACCT#BC01"</f>
        <v>ACCT#BC01</v>
      </c>
    </row>
    <row r="204" spans="1:8" x14ac:dyDescent="0.25">
      <c r="E204" t="str">
        <f>""</f>
        <v/>
      </c>
      <c r="F204" t="str">
        <f>""</f>
        <v/>
      </c>
      <c r="H204" t="str">
        <f>"ACCT#BC01"</f>
        <v>ACCT#BC01</v>
      </c>
    </row>
    <row r="205" spans="1:8" x14ac:dyDescent="0.25">
      <c r="E205" t="str">
        <f>""</f>
        <v/>
      </c>
      <c r="F205" t="str">
        <f>""</f>
        <v/>
      </c>
      <c r="H205" t="str">
        <f>"ACCT#BC01"</f>
        <v>ACCT#BC01</v>
      </c>
    </row>
    <row r="206" spans="1:8" x14ac:dyDescent="0.25">
      <c r="E206" t="str">
        <f>""</f>
        <v/>
      </c>
      <c r="F206" t="str">
        <f>""</f>
        <v/>
      </c>
      <c r="H206" t="str">
        <f>"ACCT#BC01"</f>
        <v>ACCT#BC01</v>
      </c>
    </row>
    <row r="207" spans="1:8" x14ac:dyDescent="0.25">
      <c r="A207" t="s">
        <v>327</v>
      </c>
      <c r="B207">
        <v>3346</v>
      </c>
      <c r="C207" s="1">
        <v>13278.45</v>
      </c>
      <c r="D207" s="3">
        <v>44118</v>
      </c>
      <c r="E207" t="str">
        <f>"202010059351"</f>
        <v>202010059351</v>
      </c>
      <c r="F207" t="str">
        <f>"GRANT REIMBURSEMEMT"</f>
        <v>GRANT REIMBURSEMEMT</v>
      </c>
      <c r="G207" s="1">
        <v>9278.4500000000007</v>
      </c>
      <c r="H207" t="str">
        <f>"GRANT REIMBURSEMEMT"</f>
        <v>GRANT REIMBURSEMEMT</v>
      </c>
    </row>
    <row r="208" spans="1:8" x14ac:dyDescent="0.25">
      <c r="E208" t="str">
        <f>"202010059358"</f>
        <v>202010059358</v>
      </c>
      <c r="F208" t="str">
        <f>"GRANT REIMBURSEMENT"</f>
        <v>GRANT REIMBURSEMENT</v>
      </c>
      <c r="G208" s="1">
        <v>4000</v>
      </c>
      <c r="H208" t="str">
        <f>"GRANT REIMBURSEMENT"</f>
        <v>GRANT REIMBURSEMENT</v>
      </c>
    </row>
    <row r="209" spans="1:8" x14ac:dyDescent="0.25">
      <c r="A209" t="s">
        <v>327</v>
      </c>
      <c r="B209">
        <v>3414</v>
      </c>
      <c r="C209" s="1">
        <v>5295.88</v>
      </c>
      <c r="D209" s="3">
        <v>44131</v>
      </c>
      <c r="E209" t="str">
        <f>"202010149607"</f>
        <v>202010149607</v>
      </c>
      <c r="F209" t="str">
        <f>"GRANT REIMBURSEMENT"</f>
        <v>GRANT REIMBURSEMENT</v>
      </c>
      <c r="G209" s="1">
        <v>5295.88</v>
      </c>
      <c r="H209" t="str">
        <f>"GRANT REIMBURSEMENT"</f>
        <v>GRANT REIMBURSEMENT</v>
      </c>
    </row>
    <row r="210" spans="1:8" x14ac:dyDescent="0.25">
      <c r="A210" t="s">
        <v>326</v>
      </c>
      <c r="B210">
        <v>133442</v>
      </c>
      <c r="C210" s="1">
        <v>250</v>
      </c>
      <c r="D210" s="3">
        <v>44130</v>
      </c>
      <c r="E210" t="str">
        <f>"202010149611"</f>
        <v>202010149611</v>
      </c>
      <c r="F210" t="str">
        <f>"FY20-21"</f>
        <v>FY20-21</v>
      </c>
      <c r="G210" s="1">
        <v>250</v>
      </c>
      <c r="H210" t="str">
        <f>"FY20-21"</f>
        <v>FY20-21</v>
      </c>
    </row>
    <row r="211" spans="1:8" x14ac:dyDescent="0.25">
      <c r="A211" t="s">
        <v>325</v>
      </c>
      <c r="B211">
        <v>133443</v>
      </c>
      <c r="C211" s="1">
        <v>7500</v>
      </c>
      <c r="D211" s="3">
        <v>44130</v>
      </c>
      <c r="E211" t="str">
        <f>"202010149586"</f>
        <v>202010149586</v>
      </c>
      <c r="F211" t="str">
        <f>"FY 20-21"</f>
        <v>FY 20-21</v>
      </c>
      <c r="G211" s="1">
        <v>7500</v>
      </c>
      <c r="H211" t="str">
        <f>"FY 20-21"</f>
        <v>FY 20-21</v>
      </c>
    </row>
    <row r="212" spans="1:8" x14ac:dyDescent="0.25">
      <c r="A212" t="s">
        <v>18</v>
      </c>
      <c r="B212">
        <v>133444</v>
      </c>
      <c r="C212" s="1">
        <v>46.73</v>
      </c>
      <c r="D212" s="3">
        <v>44130</v>
      </c>
      <c r="E212" t="str">
        <f>"202010219722"</f>
        <v>202010219722</v>
      </c>
      <c r="F212" t="str">
        <f>"INDIGENT HEALTH"</f>
        <v>INDIGENT HEALTH</v>
      </c>
      <c r="G212" s="1">
        <v>46.73</v>
      </c>
      <c r="H212" t="str">
        <f>"INDIGENT HEALTH"</f>
        <v>INDIGENT HEALTH</v>
      </c>
    </row>
    <row r="213" spans="1:8" x14ac:dyDescent="0.25">
      <c r="A213" t="s">
        <v>324</v>
      </c>
      <c r="B213">
        <v>3444</v>
      </c>
      <c r="C213" s="1">
        <v>66.540000000000006</v>
      </c>
      <c r="D213" s="3">
        <v>44131</v>
      </c>
      <c r="E213" t="str">
        <f>"202010219725"</f>
        <v>202010219725</v>
      </c>
      <c r="F213" t="str">
        <f>"INDIGENT HEALTH"</f>
        <v>INDIGENT HEALTH</v>
      </c>
      <c r="G213" s="1">
        <v>66.540000000000006</v>
      </c>
      <c r="H213" t="str">
        <f>"INDIGENT HEALTH"</f>
        <v>INDIGENT HEALTH</v>
      </c>
    </row>
    <row r="214" spans="1:8" x14ac:dyDescent="0.25">
      <c r="A214" t="s">
        <v>323</v>
      </c>
      <c r="B214">
        <v>3322</v>
      </c>
      <c r="C214" s="1">
        <v>4740</v>
      </c>
      <c r="D214" s="3">
        <v>44118</v>
      </c>
      <c r="E214" t="str">
        <f>"2020144"</f>
        <v>2020144</v>
      </c>
      <c r="F214" t="str">
        <f>"TRANSPORT - A.L. MCGREGOR-GLEN"</f>
        <v>TRANSPORT - A.L. MCGREGOR-GLEN</v>
      </c>
      <c r="G214" s="1">
        <v>695</v>
      </c>
      <c r="H214" t="str">
        <f>"TRANSPORT - A.L. MCGREGOR-GLEN"</f>
        <v>TRANSPORT - A.L. MCGREGOR-GLEN</v>
      </c>
    </row>
    <row r="215" spans="1:8" x14ac:dyDescent="0.25">
      <c r="E215" t="str">
        <f>"2020147"</f>
        <v>2020147</v>
      </c>
      <c r="F215" t="str">
        <f>"TRANSPORT - T. FRANKLIN"</f>
        <v>TRANSPORT - T. FRANKLIN</v>
      </c>
      <c r="G215" s="1">
        <v>495</v>
      </c>
      <c r="H215" t="str">
        <f>"TRANSPORT - T. FRANKLIN"</f>
        <v>TRANSPORT - T. FRANKLIN</v>
      </c>
    </row>
    <row r="216" spans="1:8" x14ac:dyDescent="0.25">
      <c r="E216" t="str">
        <f>"2020148"</f>
        <v>2020148</v>
      </c>
      <c r="F216" t="str">
        <f>"TRANSPORT - J. W. REED"</f>
        <v>TRANSPORT - J. W. REED</v>
      </c>
      <c r="G216" s="1">
        <v>695</v>
      </c>
      <c r="H216" t="str">
        <f>"TRANSPORT - J. W. REED"</f>
        <v>TRANSPORT - J. W. REED</v>
      </c>
    </row>
    <row r="217" spans="1:8" x14ac:dyDescent="0.25">
      <c r="E217" t="str">
        <f>"2020149"</f>
        <v>2020149</v>
      </c>
      <c r="F217" t="str">
        <f>"TRANSPORT - P. ANAYA"</f>
        <v>TRANSPORT - P. ANAYA</v>
      </c>
      <c r="G217" s="1">
        <v>495</v>
      </c>
      <c r="H217" t="str">
        <f>"TRANSPORT - P. ANAYA"</f>
        <v>TRANSPORT - P. ANAYA</v>
      </c>
    </row>
    <row r="218" spans="1:8" x14ac:dyDescent="0.25">
      <c r="E218" t="str">
        <f>"2020151"</f>
        <v>2020151</v>
      </c>
      <c r="F218" t="str">
        <f>"TRANSPORT - C. SMOTHERMAN"</f>
        <v>TRANSPORT - C. SMOTHERMAN</v>
      </c>
      <c r="G218" s="1">
        <v>390</v>
      </c>
      <c r="H218" t="str">
        <f>"TRANSPORT - C. SMOTHERMAN"</f>
        <v>TRANSPORT - C. SMOTHERMAN</v>
      </c>
    </row>
    <row r="219" spans="1:8" x14ac:dyDescent="0.25">
      <c r="E219" t="str">
        <f>"2020154"</f>
        <v>2020154</v>
      </c>
      <c r="F219" t="str">
        <f>"TRANSPORT - L.H. SIMONS"</f>
        <v>TRANSPORT - L.H. SIMONS</v>
      </c>
      <c r="G219" s="1">
        <v>295</v>
      </c>
      <c r="H219" t="str">
        <f>"TRANSPORT - L.H. SIMONS"</f>
        <v>TRANSPORT - L.H. SIMONS</v>
      </c>
    </row>
    <row r="220" spans="1:8" x14ac:dyDescent="0.25">
      <c r="E220" t="str">
        <f>"2020156"</f>
        <v>2020156</v>
      </c>
      <c r="F220" t="str">
        <f>"TRANSPORT-C.M. MUNOZ LOMELI"</f>
        <v>TRANSPORT-C.M. MUNOZ LOMELI</v>
      </c>
      <c r="G220" s="1">
        <v>495</v>
      </c>
      <c r="H220" t="str">
        <f>"TRANSPORT-C.M. MUNOZ LOMELI"</f>
        <v>TRANSPORT-C.M. MUNOZ LOMELI</v>
      </c>
    </row>
    <row r="221" spans="1:8" x14ac:dyDescent="0.25">
      <c r="E221" t="str">
        <f>"2020159"</f>
        <v>2020159</v>
      </c>
      <c r="F221" t="str">
        <f>"TRANSPORT - E.L. STOGNER"</f>
        <v>TRANSPORT - E.L. STOGNER</v>
      </c>
      <c r="G221" s="1">
        <v>695</v>
      </c>
      <c r="H221" t="str">
        <f>"TRANSPORT - E.L. STOGNER"</f>
        <v>TRANSPORT - E.L. STOGNER</v>
      </c>
    </row>
    <row r="222" spans="1:8" x14ac:dyDescent="0.25">
      <c r="E222" t="str">
        <f>"2020160"</f>
        <v>2020160</v>
      </c>
      <c r="F222" t="str">
        <f>"TRANSPORT - J.T. FIGART"</f>
        <v>TRANSPORT - J.T. FIGART</v>
      </c>
      <c r="G222" s="1">
        <v>295</v>
      </c>
      <c r="H222" t="str">
        <f>"TRANSPORT - J.T. FIGART"</f>
        <v>TRANSPORT - J.T. FIGART</v>
      </c>
    </row>
    <row r="223" spans="1:8" x14ac:dyDescent="0.25">
      <c r="E223" t="str">
        <f>"2020161"</f>
        <v>2020161</v>
      </c>
      <c r="F223" t="str">
        <f>"TRANSPORT - J. REED"</f>
        <v>TRANSPORT - J. REED</v>
      </c>
      <c r="G223" s="1">
        <v>190</v>
      </c>
      <c r="H223" t="str">
        <f>"TRANSPORT - J. REED"</f>
        <v>TRANSPORT - J. REED</v>
      </c>
    </row>
    <row r="224" spans="1:8" x14ac:dyDescent="0.25">
      <c r="A224" t="s">
        <v>322</v>
      </c>
      <c r="B224">
        <v>133320</v>
      </c>
      <c r="C224" s="1">
        <v>19.5</v>
      </c>
      <c r="D224" s="3">
        <v>44117</v>
      </c>
      <c r="E224" t="str">
        <f>"1161307"</f>
        <v>1161307</v>
      </c>
      <c r="F224" t="str">
        <f>"CLIENT ID:5495160A/ANIMAL SVCS"</f>
        <v>CLIENT ID:5495160A/ANIMAL SVCS</v>
      </c>
      <c r="G224" s="1">
        <v>19.5</v>
      </c>
      <c r="H224" t="str">
        <f>"CLIENT ID:5495160A/ANIMAL SVCS"</f>
        <v>CLIENT ID:5495160A/ANIMAL SVCS</v>
      </c>
    </row>
    <row r="225" spans="1:8" x14ac:dyDescent="0.25">
      <c r="A225" t="s">
        <v>321</v>
      </c>
      <c r="B225">
        <v>3316</v>
      </c>
      <c r="C225" s="1">
        <v>840</v>
      </c>
      <c r="D225" s="3">
        <v>44118</v>
      </c>
      <c r="E225" t="str">
        <f>"202010069480"</f>
        <v>202010069480</v>
      </c>
      <c r="F225" t="str">
        <f>"SEPT. SERVICES"</f>
        <v>SEPT. SERVICES</v>
      </c>
      <c r="G225" s="1">
        <v>840</v>
      </c>
      <c r="H225" t="str">
        <f>"SEPT. SERVICES - JAI"</f>
        <v>SEPT. SERVICES - JAI</v>
      </c>
    </row>
    <row r="226" spans="1:8" x14ac:dyDescent="0.25">
      <c r="A226" t="s">
        <v>320</v>
      </c>
      <c r="B226">
        <v>133321</v>
      </c>
      <c r="C226" s="1">
        <v>686</v>
      </c>
      <c r="D226" s="3">
        <v>44117</v>
      </c>
      <c r="E226" t="str">
        <f>"13802"</f>
        <v>13802</v>
      </c>
      <c r="F226" t="str">
        <f>"CAUSE #13802"</f>
        <v>CAUSE #13802</v>
      </c>
      <c r="G226" s="1">
        <v>686</v>
      </c>
      <c r="H226" t="str">
        <f>"CAUSE #13802"</f>
        <v>CAUSE #13802</v>
      </c>
    </row>
    <row r="227" spans="1:8" x14ac:dyDescent="0.25">
      <c r="A227" t="s">
        <v>319</v>
      </c>
      <c r="B227">
        <v>133322</v>
      </c>
      <c r="C227" s="1">
        <v>1717.7</v>
      </c>
      <c r="D227" s="3">
        <v>44117</v>
      </c>
      <c r="E227" t="str">
        <f>"75667194"</f>
        <v>75667194</v>
      </c>
      <c r="F227" t="str">
        <f>"INV 75667194"</f>
        <v>INV 75667194</v>
      </c>
      <c r="G227" s="1">
        <v>572.5</v>
      </c>
      <c r="H227" t="str">
        <f>"INV 75667194"</f>
        <v>INV 75667194</v>
      </c>
    </row>
    <row r="228" spans="1:8" x14ac:dyDescent="0.25">
      <c r="E228" t="str">
        <f>"75675774"</f>
        <v>75675774</v>
      </c>
      <c r="F228" t="str">
        <f>"INV 75675774"</f>
        <v>INV 75675774</v>
      </c>
      <c r="G228" s="1">
        <v>1145.2</v>
      </c>
      <c r="H228" t="str">
        <f>"INV 75675774"</f>
        <v>INV 75675774</v>
      </c>
    </row>
    <row r="229" spans="1:8" x14ac:dyDescent="0.25">
      <c r="A229" t="s">
        <v>319</v>
      </c>
      <c r="B229">
        <v>133445</v>
      </c>
      <c r="C229" s="1">
        <v>1735.42</v>
      </c>
      <c r="D229" s="3">
        <v>44130</v>
      </c>
      <c r="E229" t="str">
        <f>"75684090 75692914"</f>
        <v>75684090 75692914</v>
      </c>
      <c r="F229" t="str">
        <f>"INV 75684090"</f>
        <v>INV 75684090</v>
      </c>
      <c r="G229" s="1">
        <v>1735.42</v>
      </c>
      <c r="H229" t="str">
        <f>"INV 75684090"</f>
        <v>INV 75684090</v>
      </c>
    </row>
    <row r="230" spans="1:8" x14ac:dyDescent="0.25">
      <c r="E230" t="str">
        <f>""</f>
        <v/>
      </c>
      <c r="F230" t="str">
        <f>""</f>
        <v/>
      </c>
      <c r="H230" t="str">
        <f>"INV 75692914"</f>
        <v>INV 75692914</v>
      </c>
    </row>
    <row r="231" spans="1:8" x14ac:dyDescent="0.25">
      <c r="A231" t="s">
        <v>318</v>
      </c>
      <c r="B231">
        <v>133323</v>
      </c>
      <c r="C231" s="1">
        <v>124.4</v>
      </c>
      <c r="D231" s="3">
        <v>44117</v>
      </c>
      <c r="E231" t="str">
        <f>"33770"</f>
        <v>33770</v>
      </c>
      <c r="F231" t="str">
        <f>"ACCT#5005/PCT#3"</f>
        <v>ACCT#5005/PCT#3</v>
      </c>
      <c r="G231" s="1">
        <v>124.4</v>
      </c>
      <c r="H231" t="str">
        <f>"ACCT#5005/PCT#3"</f>
        <v>ACCT#5005/PCT#3</v>
      </c>
    </row>
    <row r="232" spans="1:8" x14ac:dyDescent="0.25">
      <c r="A232" t="s">
        <v>317</v>
      </c>
      <c r="B232">
        <v>3368</v>
      </c>
      <c r="C232" s="1">
        <v>2619.16</v>
      </c>
      <c r="D232" s="3">
        <v>44118</v>
      </c>
      <c r="E232" t="str">
        <f>"24876"</f>
        <v>24876</v>
      </c>
      <c r="F232" t="str">
        <f>"INV 24876"</f>
        <v>INV 24876</v>
      </c>
      <c r="G232" s="1">
        <v>2619.16</v>
      </c>
      <c r="H232" t="str">
        <f>"INV 24876"</f>
        <v>INV 24876</v>
      </c>
    </row>
    <row r="233" spans="1:8" x14ac:dyDescent="0.25">
      <c r="A233" t="s">
        <v>317</v>
      </c>
      <c r="B233">
        <v>3440</v>
      </c>
      <c r="C233" s="1">
        <v>2227.86</v>
      </c>
      <c r="D233" s="3">
        <v>44131</v>
      </c>
      <c r="E233" t="str">
        <f>"24912"</f>
        <v>24912</v>
      </c>
      <c r="F233" t="str">
        <f>"INV 24912"</f>
        <v>INV 24912</v>
      </c>
      <c r="G233" s="1">
        <v>2227.86</v>
      </c>
      <c r="H233" t="str">
        <f>"INV 24912"</f>
        <v>INV 24912</v>
      </c>
    </row>
    <row r="234" spans="1:8" x14ac:dyDescent="0.25">
      <c r="A234" t="s">
        <v>316</v>
      </c>
      <c r="B234">
        <v>3339</v>
      </c>
      <c r="C234" s="1">
        <v>150.44999999999999</v>
      </c>
      <c r="D234" s="3">
        <v>44118</v>
      </c>
      <c r="E234" t="str">
        <f>"5460"</f>
        <v>5460</v>
      </c>
      <c r="F234" t="str">
        <f>"2008 FORD REPAIRS/PCT#4"</f>
        <v>2008 FORD REPAIRS/PCT#4</v>
      </c>
      <c r="G234" s="1">
        <v>150.44999999999999</v>
      </c>
      <c r="H234" t="str">
        <f>"2008 FORD REPAIRS/PCT#4"</f>
        <v>2008 FORD REPAIRS/PCT#4</v>
      </c>
    </row>
    <row r="235" spans="1:8" x14ac:dyDescent="0.25">
      <c r="A235" t="s">
        <v>316</v>
      </c>
      <c r="B235">
        <v>3407</v>
      </c>
      <c r="C235" s="1">
        <v>1209.8499999999999</v>
      </c>
      <c r="D235" s="3">
        <v>44131</v>
      </c>
      <c r="E235" t="str">
        <f>"5490"</f>
        <v>5490</v>
      </c>
      <c r="F235" t="str">
        <f>"2011 FORD/PCT#4"</f>
        <v>2011 FORD/PCT#4</v>
      </c>
      <c r="G235" s="1">
        <v>1005.5</v>
      </c>
      <c r="H235" t="str">
        <f>"2011 FORD/PCT#4"</f>
        <v>2011 FORD/PCT#4</v>
      </c>
    </row>
    <row r="236" spans="1:8" x14ac:dyDescent="0.25">
      <c r="E236" t="str">
        <f>"5498"</f>
        <v>5498</v>
      </c>
      <c r="F236" t="str">
        <f>"2007 FRHT/PCT#4"</f>
        <v>2007 FRHT/PCT#4</v>
      </c>
      <c r="G236" s="1">
        <v>204.35</v>
      </c>
      <c r="H236" t="str">
        <f>"2007 FRHT/PCT#4"</f>
        <v>2007 FRHT/PCT#4</v>
      </c>
    </row>
    <row r="237" spans="1:8" x14ac:dyDescent="0.25">
      <c r="A237" t="s">
        <v>315</v>
      </c>
      <c r="B237">
        <v>133324</v>
      </c>
      <c r="C237" s="1">
        <v>524.91999999999996</v>
      </c>
      <c r="D237" s="3">
        <v>44117</v>
      </c>
      <c r="E237" t="str">
        <f>"84078906567 6651"</f>
        <v>84078906567 6651</v>
      </c>
      <c r="F237" t="str">
        <f>"INV 84078906567"</f>
        <v>INV 84078906567</v>
      </c>
      <c r="G237" s="1">
        <v>524.91999999999996</v>
      </c>
      <c r="H237" t="str">
        <f>"INV 84078906567"</f>
        <v>INV 84078906567</v>
      </c>
    </row>
    <row r="238" spans="1:8" x14ac:dyDescent="0.25">
      <c r="E238" t="str">
        <f>""</f>
        <v/>
      </c>
      <c r="F238" t="str">
        <f>""</f>
        <v/>
      </c>
      <c r="H238" t="str">
        <f>"INV 84078906651"</f>
        <v>INV 84078906651</v>
      </c>
    </row>
    <row r="239" spans="1:8" x14ac:dyDescent="0.25">
      <c r="A239" t="s">
        <v>315</v>
      </c>
      <c r="B239">
        <v>133446</v>
      </c>
      <c r="C239" s="1">
        <v>633.88</v>
      </c>
      <c r="D239" s="3">
        <v>44130</v>
      </c>
      <c r="E239" t="str">
        <f>"84078906745 840789"</f>
        <v>84078906745 840789</v>
      </c>
      <c r="F239" t="str">
        <f>"INV 84078906745"</f>
        <v>INV 84078906745</v>
      </c>
      <c r="G239" s="1">
        <v>633.88</v>
      </c>
      <c r="H239" t="str">
        <f>"INV 84078906745"</f>
        <v>INV 84078906745</v>
      </c>
    </row>
    <row r="240" spans="1:8" x14ac:dyDescent="0.25">
      <c r="E240" t="str">
        <f>""</f>
        <v/>
      </c>
      <c r="F240" t="str">
        <f>""</f>
        <v/>
      </c>
      <c r="H240" t="str">
        <f>"INV 84078906810"</f>
        <v>INV 84078906810</v>
      </c>
    </row>
    <row r="241" spans="1:8" x14ac:dyDescent="0.25">
      <c r="A241" t="s">
        <v>314</v>
      </c>
      <c r="B241">
        <v>3333</v>
      </c>
      <c r="C241" s="1">
        <v>500</v>
      </c>
      <c r="D241" s="3">
        <v>44118</v>
      </c>
      <c r="E241" t="str">
        <f>"202010059370"</f>
        <v>202010059370</v>
      </c>
      <c r="F241" t="str">
        <f>"57 205"</f>
        <v>57 205</v>
      </c>
      <c r="G241" s="1">
        <v>250</v>
      </c>
      <c r="H241" t="str">
        <f>"57 205"</f>
        <v>57 205</v>
      </c>
    </row>
    <row r="242" spans="1:8" x14ac:dyDescent="0.25">
      <c r="E242" t="str">
        <f>"202010059371"</f>
        <v>202010059371</v>
      </c>
      <c r="F242" t="str">
        <f>"57 278"</f>
        <v>57 278</v>
      </c>
      <c r="G242" s="1">
        <v>250</v>
      </c>
      <c r="H242" t="str">
        <f>"57 278"</f>
        <v>57 278</v>
      </c>
    </row>
    <row r="243" spans="1:8" x14ac:dyDescent="0.25">
      <c r="A243" t="s">
        <v>313</v>
      </c>
      <c r="B243">
        <v>133447</v>
      </c>
      <c r="C243" s="1">
        <v>127.59</v>
      </c>
      <c r="D243" s="3">
        <v>44130</v>
      </c>
      <c r="E243" t="str">
        <f>"202010149610"</f>
        <v>202010149610</v>
      </c>
      <c r="F243" t="str">
        <f>"CRIME STOPPER FEES SEPT 2020"</f>
        <v>CRIME STOPPER FEES SEPT 2020</v>
      </c>
      <c r="G243" s="1">
        <v>127.59</v>
      </c>
      <c r="H243" t="str">
        <f>"CRIME STOPPER FEES SEPT 2020"</f>
        <v>CRIME STOPPER FEES SEPT 2020</v>
      </c>
    </row>
    <row r="244" spans="1:8" x14ac:dyDescent="0.25">
      <c r="A244" t="s">
        <v>27</v>
      </c>
      <c r="B244">
        <v>133418</v>
      </c>
      <c r="C244" s="1">
        <v>3623.17</v>
      </c>
      <c r="D244" s="3">
        <v>44118</v>
      </c>
      <c r="E244" t="str">
        <f>"202010149593"</f>
        <v>202010149593</v>
      </c>
      <c r="F244" t="str">
        <f>"ACCT#5000057374 / 10052020"</f>
        <v>ACCT#5000057374 / 10052020</v>
      </c>
      <c r="G244" s="1">
        <v>3623.17</v>
      </c>
      <c r="H244" t="str">
        <f>"ACCT#5000057374 / 10052020"</f>
        <v>ACCT#5000057374 / 10052020</v>
      </c>
    </row>
    <row r="245" spans="1:8" x14ac:dyDescent="0.25">
      <c r="E245" t="str">
        <f>""</f>
        <v/>
      </c>
      <c r="F245" t="str">
        <f>""</f>
        <v/>
      </c>
      <c r="H245" t="str">
        <f>"ACCT#5000057374 / 10052020"</f>
        <v>ACCT#5000057374 / 10052020</v>
      </c>
    </row>
    <row r="246" spans="1:8" x14ac:dyDescent="0.25">
      <c r="E246" t="str">
        <f>""</f>
        <v/>
      </c>
      <c r="F246" t="str">
        <f>""</f>
        <v/>
      </c>
      <c r="H246" t="str">
        <f>"ACCT#5000057374 / 10052020"</f>
        <v>ACCT#5000057374 / 10052020</v>
      </c>
    </row>
    <row r="247" spans="1:8" x14ac:dyDescent="0.25">
      <c r="E247" t="str">
        <f>""</f>
        <v/>
      </c>
      <c r="F247" t="str">
        <f>""</f>
        <v/>
      </c>
      <c r="H247" t="str">
        <f>"ACCT#5000057374 / 10052020"</f>
        <v>ACCT#5000057374 / 10052020</v>
      </c>
    </row>
    <row r="248" spans="1:8" x14ac:dyDescent="0.25">
      <c r="A248" t="s">
        <v>312</v>
      </c>
      <c r="B248">
        <v>3449</v>
      </c>
      <c r="C248" s="1">
        <v>20401.240000000002</v>
      </c>
      <c r="D248" s="3">
        <v>44131</v>
      </c>
      <c r="E248" t="str">
        <f>"202010149608"</f>
        <v>202010149608</v>
      </c>
      <c r="F248" t="str">
        <f>"GRANT REIMBURSEMENT"</f>
        <v>GRANT REIMBURSEMENT</v>
      </c>
      <c r="G248" s="1">
        <v>19451.240000000002</v>
      </c>
      <c r="H248" t="str">
        <f>"GRANT REIMBURSEMENT"</f>
        <v>GRANT REIMBURSEMENT</v>
      </c>
    </row>
    <row r="249" spans="1:8" x14ac:dyDescent="0.25">
      <c r="E249" t="str">
        <f>"25-09-2020"</f>
        <v>25-09-2020</v>
      </c>
      <c r="F249" t="str">
        <f>"INV 25-09-2020"</f>
        <v>INV 25-09-2020</v>
      </c>
      <c r="G249" s="1">
        <v>950</v>
      </c>
      <c r="H249" t="str">
        <f>"INV 25-09-2020"</f>
        <v>INV 25-09-2020</v>
      </c>
    </row>
    <row r="250" spans="1:8" x14ac:dyDescent="0.25">
      <c r="A250" t="s">
        <v>311</v>
      </c>
      <c r="B250">
        <v>133325</v>
      </c>
      <c r="C250" s="1">
        <v>5000</v>
      </c>
      <c r="D250" s="3">
        <v>44117</v>
      </c>
      <c r="E250" t="str">
        <f>"202010059348"</f>
        <v>202010059348</v>
      </c>
      <c r="F250" t="str">
        <f>"FY20-21"</f>
        <v>FY20-21</v>
      </c>
      <c r="G250" s="1">
        <v>5000</v>
      </c>
      <c r="H250" t="str">
        <f>"FY20-21"</f>
        <v>FY20-21</v>
      </c>
    </row>
    <row r="251" spans="1:8" x14ac:dyDescent="0.25">
      <c r="A251" t="s">
        <v>310</v>
      </c>
      <c r="B251">
        <v>133326</v>
      </c>
      <c r="C251" s="1">
        <v>17291.12</v>
      </c>
      <c r="D251" s="3">
        <v>44117</v>
      </c>
      <c r="E251" t="str">
        <f>"202010069469"</f>
        <v>202010069469</v>
      </c>
      <c r="F251" t="str">
        <f>"ACCT#1266/STATEMENT#51329"</f>
        <v>ACCT#1266/STATEMENT#51329</v>
      </c>
      <c r="G251" s="1">
        <v>-13.2</v>
      </c>
      <c r="H251" t="str">
        <f>"ACCT#1266/STATEMENT#51329"</f>
        <v>ACCT#1266/STATEMENT#51329</v>
      </c>
    </row>
    <row r="252" spans="1:8" x14ac:dyDescent="0.25">
      <c r="E252" t="str">
        <f>"114086"</f>
        <v>114086</v>
      </c>
      <c r="F252" t="str">
        <f>"ACCT#1268/PCT#3"</f>
        <v>ACCT#1268/PCT#3</v>
      </c>
      <c r="G252" s="1">
        <v>1612.52</v>
      </c>
      <c r="H252" t="str">
        <f>"ACCT#1268/PCT#3"</f>
        <v>ACCT#1268/PCT#3</v>
      </c>
    </row>
    <row r="253" spans="1:8" x14ac:dyDescent="0.25">
      <c r="E253" t="str">
        <f>"114087"</f>
        <v>114087</v>
      </c>
      <c r="F253" t="str">
        <f>"ACCT#1268/PCT#3"</f>
        <v>ACCT#1268/PCT#3</v>
      </c>
      <c r="G253" s="1">
        <v>2011.56</v>
      </c>
      <c r="H253" t="str">
        <f>"ACCT#1268/PCT#3"</f>
        <v>ACCT#1268/PCT#3</v>
      </c>
    </row>
    <row r="254" spans="1:8" x14ac:dyDescent="0.25">
      <c r="E254" t="str">
        <f>"114088"</f>
        <v>114088</v>
      </c>
      <c r="F254" t="str">
        <f>"ACCT#1269/PCT#4"</f>
        <v>ACCT#1269/PCT#4</v>
      </c>
      <c r="G254" s="1">
        <v>4224.8</v>
      </c>
      <c r="H254" t="str">
        <f>"ACCT#1269/PCT#4"</f>
        <v>ACCT#1269/PCT#4</v>
      </c>
    </row>
    <row r="255" spans="1:8" x14ac:dyDescent="0.25">
      <c r="E255" t="str">
        <f>"114294"</f>
        <v>114294</v>
      </c>
      <c r="F255" t="str">
        <f>"ACCT#1268/COMM BASE/PCT#3"</f>
        <v>ACCT#1268/COMM BASE/PCT#3</v>
      </c>
      <c r="G255" s="1">
        <v>2779.64</v>
      </c>
      <c r="H255" t="str">
        <f>"ACCT#1268/COMM BASE/PCT#3"</f>
        <v>ACCT#1268/COMM BASE/PCT#3</v>
      </c>
    </row>
    <row r="256" spans="1:8" x14ac:dyDescent="0.25">
      <c r="E256" t="str">
        <f>"114295"</f>
        <v>114295</v>
      </c>
      <c r="F256" t="str">
        <f>"ACCT#1269/WASHED ROCK/PCT#4"</f>
        <v>ACCT#1269/WASHED ROCK/PCT#4</v>
      </c>
      <c r="G256" s="1">
        <v>5248.4</v>
      </c>
      <c r="H256" t="str">
        <f>"ACCT#1269/WASHED ROCK/PCT#4"</f>
        <v>ACCT#1269/WASHED ROCK/PCT#4</v>
      </c>
    </row>
    <row r="257" spans="1:8" x14ac:dyDescent="0.25">
      <c r="E257" t="str">
        <f>"114464"</f>
        <v>114464</v>
      </c>
      <c r="F257" t="str">
        <f>"ACCT#1269/WASHED ROCK/PCT#4"</f>
        <v>ACCT#1269/WASHED ROCK/PCT#4</v>
      </c>
      <c r="G257" s="1">
        <v>1427.4</v>
      </c>
      <c r="H257" t="str">
        <f>"ACCT#1269/WASHED ROCK/PCT#3"</f>
        <v>ACCT#1269/WASHED ROCK/PCT#3</v>
      </c>
    </row>
    <row r="258" spans="1:8" x14ac:dyDescent="0.25">
      <c r="A258" t="s">
        <v>310</v>
      </c>
      <c r="B258">
        <v>133448</v>
      </c>
      <c r="C258" s="1">
        <v>11130.48</v>
      </c>
      <c r="D258" s="3">
        <v>44130</v>
      </c>
      <c r="E258" t="str">
        <f>"114462"</f>
        <v>114462</v>
      </c>
      <c r="F258" t="str">
        <f>"ACCT#1268/PCT#3"</f>
        <v>ACCT#1268/PCT#3</v>
      </c>
      <c r="G258" s="1">
        <v>730.6</v>
      </c>
      <c r="H258" t="str">
        <f>"ACCT#1268/PCT#3"</f>
        <v>ACCT#1268/PCT#3</v>
      </c>
    </row>
    <row r="259" spans="1:8" x14ac:dyDescent="0.25">
      <c r="E259" t="str">
        <f>"114463"</f>
        <v>114463</v>
      </c>
      <c r="F259" t="str">
        <f>"ACCT#1268/PCT#3"</f>
        <v>ACCT#1268/PCT#3</v>
      </c>
      <c r="G259" s="1">
        <v>734.44</v>
      </c>
      <c r="H259" t="str">
        <f>"ACCT#1268/PCT#3"</f>
        <v>ACCT#1268/PCT#3</v>
      </c>
    </row>
    <row r="260" spans="1:8" x14ac:dyDescent="0.25">
      <c r="E260" t="str">
        <f>"114658"</f>
        <v>114658</v>
      </c>
      <c r="F260" t="str">
        <f>"ACCT#1268/COMM BASE/PCT#3"</f>
        <v>ACCT#1268/COMM BASE/PCT#3</v>
      </c>
      <c r="G260" s="1">
        <v>2112.6799999999998</v>
      </c>
      <c r="H260" t="str">
        <f>"ACCT#1268/COMM BASE/PCT#3"</f>
        <v>ACCT#1268/COMM BASE/PCT#3</v>
      </c>
    </row>
    <row r="261" spans="1:8" x14ac:dyDescent="0.25">
      <c r="E261" t="str">
        <f>"114659"</f>
        <v>114659</v>
      </c>
      <c r="F261" t="str">
        <f>"ACCT#1269/WASHED ROCK/PCT#4"</f>
        <v>ACCT#1269/WASHED ROCK/PCT#4</v>
      </c>
      <c r="G261" s="1">
        <v>4579.8</v>
      </c>
      <c r="H261" t="str">
        <f>"ACCT#1269/WASHED ROCK/PCT#4"</f>
        <v>ACCT#1269/WASHED ROCK/PCT#4</v>
      </c>
    </row>
    <row r="262" spans="1:8" x14ac:dyDescent="0.25">
      <c r="E262" t="str">
        <f>"114902"</f>
        <v>114902</v>
      </c>
      <c r="F262" t="str">
        <f>"ACCT#1268/COMM BASE/PCT#3"</f>
        <v>ACCT#1268/COMM BASE/PCT#3</v>
      </c>
      <c r="G262" s="1">
        <v>2972.96</v>
      </c>
      <c r="H262" t="str">
        <f>"ACCT#1268/COMM BASE/PCT#3"</f>
        <v>ACCT#1268/COMM BASE/PCT#3</v>
      </c>
    </row>
    <row r="263" spans="1:8" x14ac:dyDescent="0.25">
      <c r="A263" t="s">
        <v>309</v>
      </c>
      <c r="B263">
        <v>133327</v>
      </c>
      <c r="C263" s="1">
        <v>477.39</v>
      </c>
      <c r="D263" s="3">
        <v>44117</v>
      </c>
      <c r="E263" t="str">
        <f>"280920"</f>
        <v>280920</v>
      </c>
      <c r="F263" t="str">
        <f>"INV 280920"</f>
        <v>INV 280920</v>
      </c>
      <c r="G263" s="1">
        <v>477.39</v>
      </c>
      <c r="H263" t="str">
        <f>"INV 280920"</f>
        <v>INV 280920</v>
      </c>
    </row>
    <row r="264" spans="1:8" x14ac:dyDescent="0.25">
      <c r="A264" t="s">
        <v>308</v>
      </c>
      <c r="B264">
        <v>3378</v>
      </c>
      <c r="C264" s="1">
        <v>500</v>
      </c>
      <c r="D264" s="3">
        <v>44118</v>
      </c>
      <c r="E264" t="str">
        <f>"202010059314"</f>
        <v>202010059314</v>
      </c>
      <c r="F264" t="str">
        <f>"57 162"</f>
        <v>57 162</v>
      </c>
      <c r="G264" s="1">
        <v>250</v>
      </c>
      <c r="H264" t="str">
        <f>"57 162"</f>
        <v>57 162</v>
      </c>
    </row>
    <row r="265" spans="1:8" x14ac:dyDescent="0.25">
      <c r="E265" t="str">
        <f>"202010059315"</f>
        <v>202010059315</v>
      </c>
      <c r="F265" t="str">
        <f>"9253573732A001  20200572"</f>
        <v>9253573732A001  20200572</v>
      </c>
      <c r="G265" s="1">
        <v>250</v>
      </c>
      <c r="H265" t="str">
        <f>"9253573732A001  20200572"</f>
        <v>9253573732A001  20200572</v>
      </c>
    </row>
    <row r="266" spans="1:8" x14ac:dyDescent="0.25">
      <c r="A266" t="s">
        <v>307</v>
      </c>
      <c r="B266">
        <v>133449</v>
      </c>
      <c r="C266" s="1">
        <v>2635</v>
      </c>
      <c r="D266" s="3">
        <v>44130</v>
      </c>
      <c r="E266" t="str">
        <f>"202010209715"</f>
        <v>202010209715</v>
      </c>
      <c r="F266" t="str">
        <f>"TRAINING"</f>
        <v>TRAINING</v>
      </c>
      <c r="G266" s="1">
        <v>200</v>
      </c>
      <c r="H266" t="str">
        <f>"TRAINING - J. HINES"</f>
        <v>TRAINING - J. HINES</v>
      </c>
    </row>
    <row r="267" spans="1:8" x14ac:dyDescent="0.25">
      <c r="E267" t="str">
        <f>"2021AQ 01"</f>
        <v>2021AQ 01</v>
      </c>
      <c r="F267" t="str">
        <f>"FY2021 AIR QUALITY PROG CONT"</f>
        <v>FY2021 AIR QUALITY PROG CONT</v>
      </c>
      <c r="G267" s="1">
        <v>2435</v>
      </c>
      <c r="H267" t="str">
        <f>"FY2021 AIR QUALITY PROG CONT"</f>
        <v>FY2021 AIR QUALITY PROG CONT</v>
      </c>
    </row>
    <row r="268" spans="1:8" x14ac:dyDescent="0.25">
      <c r="A268" t="s">
        <v>306</v>
      </c>
      <c r="B268">
        <v>3425</v>
      </c>
      <c r="C268" s="1">
        <v>148.91999999999999</v>
      </c>
      <c r="D268" s="3">
        <v>44131</v>
      </c>
      <c r="E268" t="str">
        <f>"01809965"</f>
        <v>01809965</v>
      </c>
      <c r="F268" t="str">
        <f>"ACCT#000690/ORD#01415249/P4"</f>
        <v>ACCT#000690/ORD#01415249/P4</v>
      </c>
      <c r="G268" s="1">
        <v>24.58</v>
      </c>
      <c r="H268" t="str">
        <f>"ACCT#000690/ORD#01415249/P4"</f>
        <v>ACCT#000690/ORD#01415249/P4</v>
      </c>
    </row>
    <row r="269" spans="1:8" x14ac:dyDescent="0.25">
      <c r="E269" t="str">
        <f>"01810391"</f>
        <v>01810391</v>
      </c>
      <c r="F269" t="str">
        <f>"ACCT#000690/PCT#4"</f>
        <v>ACCT#000690/PCT#4</v>
      </c>
      <c r="G269" s="1">
        <v>124.34</v>
      </c>
      <c r="H269" t="str">
        <f>"ACCT#000690/PCT#4"</f>
        <v>ACCT#000690/PCT#4</v>
      </c>
    </row>
    <row r="270" spans="1:8" x14ac:dyDescent="0.25">
      <c r="A270" t="s">
        <v>305</v>
      </c>
      <c r="B270">
        <v>133450</v>
      </c>
      <c r="C270" s="1">
        <v>11000</v>
      </c>
      <c r="D270" s="3">
        <v>44130</v>
      </c>
      <c r="E270" t="str">
        <f>"202010149612"</f>
        <v>202010149612</v>
      </c>
      <c r="F270" t="str">
        <f>"FY20-21"</f>
        <v>FY20-21</v>
      </c>
      <c r="G270" s="1">
        <v>11000</v>
      </c>
      <c r="H270" t="str">
        <f>"FY20-21"</f>
        <v>FY20-21</v>
      </c>
    </row>
    <row r="271" spans="1:8" x14ac:dyDescent="0.25">
      <c r="A271" t="s">
        <v>26</v>
      </c>
      <c r="B271">
        <v>3447</v>
      </c>
      <c r="C271" s="1">
        <v>3482.7</v>
      </c>
      <c r="D271" s="3">
        <v>44131</v>
      </c>
      <c r="E271" t="str">
        <f>"202010209661"</f>
        <v>202010209661</v>
      </c>
      <c r="F271" t="str">
        <f>"Smart UPS"</f>
        <v>Smart UPS</v>
      </c>
      <c r="G271" s="1">
        <v>3482.7</v>
      </c>
      <c r="H271" t="str">
        <f>"Smart UPS"</f>
        <v>Smart UPS</v>
      </c>
    </row>
    <row r="272" spans="1:8" x14ac:dyDescent="0.25">
      <c r="A272" t="s">
        <v>304</v>
      </c>
      <c r="B272">
        <v>133451</v>
      </c>
      <c r="C272" s="1">
        <v>2301</v>
      </c>
      <c r="D272" s="3">
        <v>44130</v>
      </c>
      <c r="E272" t="str">
        <f>"MEDICAL FY 2020"</f>
        <v>MEDICAL FY 2020</v>
      </c>
      <c r="F272" t="str">
        <f>"MEDICAL/JUVENILE SERVICES"</f>
        <v>MEDICAL/JUVENILE SERVICES</v>
      </c>
      <c r="G272" s="1">
        <v>2301</v>
      </c>
      <c r="H272" t="str">
        <f>"MEDICAL/JUVENILE SERVICES"</f>
        <v>MEDICAL/JUVENILE SERVICES</v>
      </c>
    </row>
    <row r="273" spans="1:8" x14ac:dyDescent="0.25">
      <c r="A273" t="s">
        <v>303</v>
      </c>
      <c r="B273">
        <v>133561</v>
      </c>
      <c r="C273" s="1">
        <v>1434.06</v>
      </c>
      <c r="D273" s="3">
        <v>44132</v>
      </c>
      <c r="E273" t="str">
        <f>"202010289798"</f>
        <v>202010289798</v>
      </c>
      <c r="F273" t="str">
        <f>"ACCT#8000081165-5 / 10212020"</f>
        <v>ACCT#8000081165-5 / 10212020</v>
      </c>
      <c r="G273" s="1">
        <v>1434.06</v>
      </c>
      <c r="H273" t="str">
        <f>"ACCT#8000081165-5 / 10212020"</f>
        <v>ACCT#8000081165-5 / 10212020</v>
      </c>
    </row>
    <row r="274" spans="1:8" x14ac:dyDescent="0.25">
      <c r="E274" t="str">
        <f>""</f>
        <v/>
      </c>
      <c r="F274" t="str">
        <f>""</f>
        <v/>
      </c>
      <c r="H274" t="str">
        <f>"ACCT#8000081165-5 / 10212020"</f>
        <v>ACCT#8000081165-5 / 10212020</v>
      </c>
    </row>
    <row r="275" spans="1:8" x14ac:dyDescent="0.25">
      <c r="A275" t="s">
        <v>302</v>
      </c>
      <c r="B275">
        <v>133328</v>
      </c>
      <c r="C275" s="1">
        <v>200</v>
      </c>
      <c r="D275" s="3">
        <v>44117</v>
      </c>
      <c r="E275" t="str">
        <f>" 20-9-2826"</f>
        <v xml:space="preserve"> 20-9-2826</v>
      </c>
      <c r="F275" t="str">
        <f>"ANNUAL STATE INSPECTION"</f>
        <v>ANNUAL STATE INSPECTION</v>
      </c>
      <c r="G275" s="1">
        <v>200</v>
      </c>
      <c r="H275" t="str">
        <f>"ANNUAL STATE INSPECTION"</f>
        <v>ANNUAL STATE INSPECTION</v>
      </c>
    </row>
    <row r="276" spans="1:8" x14ac:dyDescent="0.25">
      <c r="A276" t="s">
        <v>301</v>
      </c>
      <c r="B276">
        <v>133329</v>
      </c>
      <c r="C276" s="1">
        <v>8400</v>
      </c>
      <c r="D276" s="3">
        <v>44117</v>
      </c>
      <c r="E276" t="str">
        <f>"13135"</f>
        <v>13135</v>
      </c>
      <c r="F276" t="str">
        <f>"CTA284-19  C.RAMIREZ"</f>
        <v>CTA284-19  C.RAMIREZ</v>
      </c>
      <c r="G276" s="1">
        <v>2100</v>
      </c>
      <c r="H276" t="str">
        <f>"CTA284-19  C.RAMIREZ"</f>
        <v>CTA284-19  C.RAMIREZ</v>
      </c>
    </row>
    <row r="277" spans="1:8" x14ac:dyDescent="0.25">
      <c r="E277" t="str">
        <f>"13220"</f>
        <v>13220</v>
      </c>
      <c r="F277" t="str">
        <f>"CTA 092-19  J.P. WILLIAMS"</f>
        <v>CTA 092-19  J.P. WILLIAMS</v>
      </c>
      <c r="G277" s="1">
        <v>2100</v>
      </c>
      <c r="H277" t="str">
        <f>"CTA 092-19  J.P. WILLIAMS"</f>
        <v>CTA 092-19  J.P. WILLIAMS</v>
      </c>
    </row>
    <row r="278" spans="1:8" x14ac:dyDescent="0.25">
      <c r="E278" t="str">
        <f>"13224"</f>
        <v>13224</v>
      </c>
      <c r="F278" t="str">
        <f>"CTA430-19  C.R. JOHNSON JR"</f>
        <v>CTA430-19  C.R. JOHNSON JR</v>
      </c>
      <c r="G278" s="1">
        <v>2100</v>
      </c>
      <c r="H278" t="str">
        <f>"CTA430-19  C.R. JOHNSON JR"</f>
        <v>CTA430-19  C.R. JOHNSON JR</v>
      </c>
    </row>
    <row r="279" spans="1:8" x14ac:dyDescent="0.25">
      <c r="E279" t="str">
        <f>"13225"</f>
        <v>13225</v>
      </c>
      <c r="F279" t="str">
        <f>"CTA077-20  R. MCLAURIN JR"</f>
        <v>CTA077-20  R. MCLAURIN JR</v>
      </c>
      <c r="G279" s="1">
        <v>2100</v>
      </c>
      <c r="H279" t="str">
        <f>"CTA077-20  R. MCLAURIN JR"</f>
        <v>CTA077-20  R. MCLAURIN JR</v>
      </c>
    </row>
    <row r="280" spans="1:8" x14ac:dyDescent="0.25">
      <c r="A280" t="s">
        <v>300</v>
      </c>
      <c r="B280">
        <v>133452</v>
      </c>
      <c r="C280" s="1">
        <v>1122.5</v>
      </c>
      <c r="D280" s="3">
        <v>44130</v>
      </c>
      <c r="E280" t="str">
        <f>"202010209681"</f>
        <v>202010209681</v>
      </c>
      <c r="F280" t="str">
        <f>"57 089"</f>
        <v>57 089</v>
      </c>
      <c r="G280" s="1">
        <v>250</v>
      </c>
      <c r="H280" t="str">
        <f>"57 089"</f>
        <v>57 089</v>
      </c>
    </row>
    <row r="281" spans="1:8" x14ac:dyDescent="0.25">
      <c r="E281" t="str">
        <f>"202010209682"</f>
        <v>202010209682</v>
      </c>
      <c r="F281" t="str">
        <f>"57 357"</f>
        <v>57 357</v>
      </c>
      <c r="G281" s="1">
        <v>250</v>
      </c>
      <c r="H281" t="str">
        <f>"57 357"</f>
        <v>57 357</v>
      </c>
    </row>
    <row r="282" spans="1:8" x14ac:dyDescent="0.25">
      <c r="E282" t="str">
        <f>"202010209686"</f>
        <v>202010209686</v>
      </c>
      <c r="F282" t="str">
        <f>"20-20321"</f>
        <v>20-20321</v>
      </c>
      <c r="G282" s="1">
        <v>172.5</v>
      </c>
      <c r="H282" t="str">
        <f>"20-20321"</f>
        <v>20-20321</v>
      </c>
    </row>
    <row r="283" spans="1:8" x14ac:dyDescent="0.25">
      <c r="E283" t="str">
        <f>"202010209687"</f>
        <v>202010209687</v>
      </c>
      <c r="F283" t="str">
        <f>"20-20373"</f>
        <v>20-20373</v>
      </c>
      <c r="G283" s="1">
        <v>75</v>
      </c>
      <c r="H283" t="str">
        <f>"20-20373"</f>
        <v>20-20373</v>
      </c>
    </row>
    <row r="284" spans="1:8" x14ac:dyDescent="0.25">
      <c r="E284" t="str">
        <f>"202010209688"</f>
        <v>202010209688</v>
      </c>
      <c r="F284" t="str">
        <f>"19-19684"</f>
        <v>19-19684</v>
      </c>
      <c r="G284" s="1">
        <v>100</v>
      </c>
      <c r="H284" t="str">
        <f>"19-19684"</f>
        <v>19-19684</v>
      </c>
    </row>
    <row r="285" spans="1:8" x14ac:dyDescent="0.25">
      <c r="E285" t="str">
        <f>"202010209689"</f>
        <v>202010209689</v>
      </c>
      <c r="F285" t="str">
        <f>"19-19849"</f>
        <v>19-19849</v>
      </c>
      <c r="G285" s="1">
        <v>175</v>
      </c>
      <c r="H285" t="str">
        <f>"19-19849"</f>
        <v>19-19849</v>
      </c>
    </row>
    <row r="286" spans="1:8" x14ac:dyDescent="0.25">
      <c r="E286" t="str">
        <f>"202010209690"</f>
        <v>202010209690</v>
      </c>
      <c r="F286" t="str">
        <f>"19-19679"</f>
        <v>19-19679</v>
      </c>
      <c r="G286" s="1">
        <v>100</v>
      </c>
      <c r="H286" t="str">
        <f>"19-19679"</f>
        <v>19-19679</v>
      </c>
    </row>
    <row r="287" spans="1:8" x14ac:dyDescent="0.25">
      <c r="A287" t="s">
        <v>299</v>
      </c>
      <c r="B287">
        <v>3453</v>
      </c>
      <c r="C287" s="1">
        <v>6100</v>
      </c>
      <c r="D287" s="3">
        <v>44131</v>
      </c>
      <c r="E287" t="str">
        <f>"202010149562"</f>
        <v>202010149562</v>
      </c>
      <c r="F287" t="str">
        <f>"16 905"</f>
        <v>16 905</v>
      </c>
      <c r="G287" s="1">
        <v>5400</v>
      </c>
      <c r="H287" t="str">
        <f>"16 905"</f>
        <v>16 905</v>
      </c>
    </row>
    <row r="288" spans="1:8" x14ac:dyDescent="0.25">
      <c r="E288" t="str">
        <f>"202010149563"</f>
        <v>202010149563</v>
      </c>
      <c r="F288" t="str">
        <f>"16 773"</f>
        <v>16 773</v>
      </c>
      <c r="G288" s="1">
        <v>400</v>
      </c>
      <c r="H288" t="str">
        <f>"16 773"</f>
        <v>16 773</v>
      </c>
    </row>
    <row r="289" spans="1:8" x14ac:dyDescent="0.25">
      <c r="E289" t="str">
        <f>"202010149564"</f>
        <v>202010149564</v>
      </c>
      <c r="F289" t="str">
        <f>"423-7395"</f>
        <v>423-7395</v>
      </c>
      <c r="G289" s="1">
        <v>100</v>
      </c>
      <c r="H289" t="str">
        <f>"423-7395"</f>
        <v>423-7395</v>
      </c>
    </row>
    <row r="290" spans="1:8" x14ac:dyDescent="0.25">
      <c r="E290" t="str">
        <f>"202010209674"</f>
        <v>202010209674</v>
      </c>
      <c r="F290" t="str">
        <f>"20-20426"</f>
        <v>20-20426</v>
      </c>
      <c r="G290" s="1">
        <v>100</v>
      </c>
      <c r="H290" t="str">
        <f>"20-20426"</f>
        <v>20-20426</v>
      </c>
    </row>
    <row r="291" spans="1:8" x14ac:dyDescent="0.25">
      <c r="E291" t="str">
        <f>"202010209675"</f>
        <v>202010209675</v>
      </c>
      <c r="F291" t="str">
        <f>"20-20426"</f>
        <v>20-20426</v>
      </c>
      <c r="G291" s="1">
        <v>100</v>
      </c>
      <c r="H291" t="str">
        <f>"20-20426"</f>
        <v>20-20426</v>
      </c>
    </row>
    <row r="292" spans="1:8" x14ac:dyDescent="0.25">
      <c r="A292" t="s">
        <v>298</v>
      </c>
      <c r="B292">
        <v>3420</v>
      </c>
      <c r="C292" s="1">
        <v>136.4</v>
      </c>
      <c r="D292" s="3">
        <v>44131</v>
      </c>
      <c r="E292" t="str">
        <f>"202010219744"</f>
        <v>202010219744</v>
      </c>
      <c r="F292" t="str">
        <f>"REIMBURSEMENT-UNIFORM SHIRTS"</f>
        <v>REIMBURSEMENT-UNIFORM SHIRTS</v>
      </c>
      <c r="G292" s="1">
        <v>136.4</v>
      </c>
      <c r="H292" t="str">
        <f>"REIMBURSEMENT-UNIFORM SHIRTS"</f>
        <v>REIMBURSEMENT-UNIFORM SHIRTS</v>
      </c>
    </row>
    <row r="293" spans="1:8" x14ac:dyDescent="0.25">
      <c r="A293" t="s">
        <v>297</v>
      </c>
      <c r="B293">
        <v>133330</v>
      </c>
      <c r="C293" s="1">
        <v>229.84</v>
      </c>
      <c r="D293" s="3">
        <v>44117</v>
      </c>
      <c r="E293" t="str">
        <f>"5033287740"</f>
        <v>5033287740</v>
      </c>
      <c r="F293" t="str">
        <f>"CUST#11167190/PCT#1"</f>
        <v>CUST#11167190/PCT#1</v>
      </c>
      <c r="G293" s="1">
        <v>79.84</v>
      </c>
      <c r="H293" t="str">
        <f>"CUST#11167190/PCT#1"</f>
        <v>CUST#11167190/PCT#1</v>
      </c>
    </row>
    <row r="294" spans="1:8" x14ac:dyDescent="0.25">
      <c r="E294" t="str">
        <f>"9104624004"</f>
        <v>9104624004</v>
      </c>
      <c r="F294" t="str">
        <f>"INV 9104624004"</f>
        <v>INV 9104624004</v>
      </c>
      <c r="G294" s="1">
        <v>100</v>
      </c>
      <c r="H294" t="str">
        <f>"INV 9104624004"</f>
        <v>INV 9104624004</v>
      </c>
    </row>
    <row r="295" spans="1:8" x14ac:dyDescent="0.25">
      <c r="E295" t="str">
        <f>"9104624006"</f>
        <v>9104624006</v>
      </c>
      <c r="F295" t="str">
        <f>"INV 9104624006"</f>
        <v>INV 9104624006</v>
      </c>
      <c r="G295" s="1">
        <v>50</v>
      </c>
      <c r="H295" t="str">
        <f>"INV 9104624006"</f>
        <v>INV 9104624006</v>
      </c>
    </row>
    <row r="296" spans="1:8" x14ac:dyDescent="0.25">
      <c r="A296" t="s">
        <v>296</v>
      </c>
      <c r="B296">
        <v>133331</v>
      </c>
      <c r="C296" s="1">
        <v>116.67</v>
      </c>
      <c r="D296" s="3">
        <v>44117</v>
      </c>
      <c r="E296" t="str">
        <f>"8404813651"</f>
        <v>8404813651</v>
      </c>
      <c r="F296" t="str">
        <f>"CUST#10377368/PCT#3"</f>
        <v>CUST#10377368/PCT#3</v>
      </c>
      <c r="G296" s="1">
        <v>116.67</v>
      </c>
      <c r="H296" t="str">
        <f>"CUST#10377368/PCT#3"</f>
        <v>CUST#10377368/PCT#3</v>
      </c>
    </row>
    <row r="297" spans="1:8" x14ac:dyDescent="0.25">
      <c r="A297" t="s">
        <v>296</v>
      </c>
      <c r="B297">
        <v>133453</v>
      </c>
      <c r="C297" s="1">
        <v>6757.89</v>
      </c>
      <c r="D297" s="3">
        <v>44130</v>
      </c>
      <c r="E297" t="str">
        <f>"202010149609"</f>
        <v>202010149609</v>
      </c>
      <c r="F297" t="str">
        <f>"PAYER#14108463/ANIMAL SHELTER"</f>
        <v>PAYER#14108463/ANIMAL SHELTER</v>
      </c>
      <c r="G297" s="1">
        <v>352.1</v>
      </c>
      <c r="H297" t="str">
        <f>"PAYER#14108463/ANIMAL SHELTER"</f>
        <v>PAYER#14108463/ANIMAL SHELTER</v>
      </c>
    </row>
    <row r="298" spans="1:8" x14ac:dyDescent="0.25">
      <c r="E298" t="str">
        <f>"202010199640"</f>
        <v>202010199640</v>
      </c>
      <c r="F298" t="str">
        <f>"PAYER#14108367/PCT#2"</f>
        <v>PAYER#14108367/PCT#2</v>
      </c>
      <c r="G298" s="1">
        <v>743.02</v>
      </c>
      <c r="H298" t="str">
        <f>"PAYER#14108367/PCT#2"</f>
        <v>PAYER#14108367/PCT#2</v>
      </c>
    </row>
    <row r="299" spans="1:8" x14ac:dyDescent="0.25">
      <c r="E299" t="str">
        <f>"202010199643"</f>
        <v>202010199643</v>
      </c>
      <c r="F299" t="str">
        <f>"PAYER#14108430/PCT#4"</f>
        <v>PAYER#14108430/PCT#4</v>
      </c>
      <c r="G299" s="1">
        <v>2290.0700000000002</v>
      </c>
      <c r="H299" t="str">
        <f>"PAYER#14108430/PCT#4"</f>
        <v>PAYER#14108430/PCT#4</v>
      </c>
    </row>
    <row r="300" spans="1:8" x14ac:dyDescent="0.25">
      <c r="E300" t="str">
        <f>"202010209651"</f>
        <v>202010209651</v>
      </c>
      <c r="F300" t="str">
        <f>"PAYER#14108375/GEN SVCS"</f>
        <v>PAYER#14108375/GEN SVCS</v>
      </c>
      <c r="G300" s="1">
        <v>2442.64</v>
      </c>
      <c r="H300" t="str">
        <f>"PAYER#14108375/GEN SVCS"</f>
        <v>PAYER#14108375/GEN SVCS</v>
      </c>
    </row>
    <row r="301" spans="1:8" x14ac:dyDescent="0.25">
      <c r="E301" t="str">
        <f>"202010209652"</f>
        <v>202010209652</v>
      </c>
      <c r="F301" t="str">
        <f>"PAYER#14108431/SIGN SHOP"</f>
        <v>PAYER#14108431/SIGN SHOP</v>
      </c>
      <c r="G301" s="1">
        <v>70.08</v>
      </c>
      <c r="H301" t="str">
        <f>"PAYER#14108431/SIGN SHOP"</f>
        <v>PAYER#14108431/SIGN SHOP</v>
      </c>
    </row>
    <row r="302" spans="1:8" x14ac:dyDescent="0.25">
      <c r="E302" t="str">
        <f>"202010209655"</f>
        <v>202010209655</v>
      </c>
      <c r="F302" t="str">
        <f>"PAYER#14108431/PCT#1"</f>
        <v>PAYER#14108431/PCT#1</v>
      </c>
      <c r="G302" s="1">
        <v>859.98</v>
      </c>
      <c r="H302" t="str">
        <f>"PAYER#14108431/PCT#1"</f>
        <v>PAYER#14108431/PCT#1</v>
      </c>
    </row>
    <row r="303" spans="1:8" x14ac:dyDescent="0.25">
      <c r="A303" t="s">
        <v>296</v>
      </c>
      <c r="B303">
        <v>133454</v>
      </c>
      <c r="C303" s="1">
        <v>216.29</v>
      </c>
      <c r="D303" s="3">
        <v>44130</v>
      </c>
      <c r="E303" t="str">
        <f>"8404836153"</f>
        <v>8404836153</v>
      </c>
      <c r="F303" t="str">
        <f>"CUST#10377368//PCT#2"</f>
        <v>CUST#10377368//PCT#2</v>
      </c>
      <c r="G303" s="1">
        <v>60.68</v>
      </c>
      <c r="H303" t="str">
        <f>"CUST#10377368//PCT#2"</f>
        <v>CUST#10377368//PCT#2</v>
      </c>
    </row>
    <row r="304" spans="1:8" x14ac:dyDescent="0.25">
      <c r="E304" t="str">
        <f>"8404845523"</f>
        <v>8404845523</v>
      </c>
      <c r="F304" t="str">
        <f>"CUST#10377368/PCT#3"</f>
        <v>CUST#10377368/PCT#3</v>
      </c>
      <c r="G304" s="1">
        <v>155.61000000000001</v>
      </c>
      <c r="H304" t="str">
        <f>"CUST#10377368/PCT#3"</f>
        <v>CUST#10377368/PCT#3</v>
      </c>
    </row>
    <row r="305" spans="1:8" x14ac:dyDescent="0.25">
      <c r="A305" t="s">
        <v>295</v>
      </c>
      <c r="B305">
        <v>133419</v>
      </c>
      <c r="C305" s="1">
        <v>46574</v>
      </c>
      <c r="D305" s="3">
        <v>44118</v>
      </c>
      <c r="E305" t="str">
        <f>"202010149595"</f>
        <v>202010149595</v>
      </c>
      <c r="F305" t="str">
        <f>"ACCT#02-2083-04 / 09292020"</f>
        <v>ACCT#02-2083-04 / 09292020</v>
      </c>
      <c r="G305" s="1">
        <v>5899.91</v>
      </c>
      <c r="H305" t="str">
        <f>"ACCT#02-2083-04 / 09292020"</f>
        <v>ACCT#02-2083-04 / 09292020</v>
      </c>
    </row>
    <row r="306" spans="1:8" x14ac:dyDescent="0.25">
      <c r="E306" t="str">
        <f>"202010149596"</f>
        <v>202010149596</v>
      </c>
      <c r="F306" t="str">
        <f>"COUNTY DEV CTR / 09292020"</f>
        <v>COUNTY DEV CTR / 09292020</v>
      </c>
      <c r="G306" s="1">
        <v>2204.52</v>
      </c>
      <c r="H306" t="str">
        <f>"COUNTY DEV CTR / 09292020"</f>
        <v>COUNTY DEV CTR / 09292020</v>
      </c>
    </row>
    <row r="307" spans="1:8" x14ac:dyDescent="0.25">
      <c r="E307" t="str">
        <f>"202010149597"</f>
        <v>202010149597</v>
      </c>
      <c r="F307" t="str">
        <f>"COUNTY LAW CTR / 09292020"</f>
        <v>COUNTY LAW CTR / 09292020</v>
      </c>
      <c r="G307" s="1">
        <v>25748.51</v>
      </c>
      <c r="H307" t="str">
        <f>"COUNTY LAW CTR / 09292020"</f>
        <v>COUNTY LAW CTR / 09292020</v>
      </c>
    </row>
    <row r="308" spans="1:8" x14ac:dyDescent="0.25">
      <c r="E308" t="str">
        <f>"202010149598"</f>
        <v>202010149598</v>
      </c>
      <c r="F308" t="str">
        <f>"BASTROP COURTHOUSE / 09292020"</f>
        <v>BASTROP COURTHOUSE / 09292020</v>
      </c>
      <c r="G308" s="1">
        <v>12721.06</v>
      </c>
      <c r="H308" t="str">
        <f>"BASTROP COURTHOUSE / 09292020"</f>
        <v>BASTROP COURTHOUSE / 09292020</v>
      </c>
    </row>
    <row r="309" spans="1:8" x14ac:dyDescent="0.25">
      <c r="A309" t="s">
        <v>295</v>
      </c>
      <c r="B309">
        <v>133455</v>
      </c>
      <c r="C309" s="1">
        <v>750</v>
      </c>
      <c r="D309" s="3">
        <v>44130</v>
      </c>
      <c r="E309" t="str">
        <f>"202010149589"</f>
        <v>202010149589</v>
      </c>
      <c r="F309" t="str">
        <f>"RENTAL - PARKING LOT"</f>
        <v>RENTAL - PARKING LOT</v>
      </c>
      <c r="G309" s="1">
        <v>750</v>
      </c>
      <c r="H309" t="str">
        <f>"RENTAL - PARKING LOT"</f>
        <v>RENTAL - PARKING LOT</v>
      </c>
    </row>
    <row r="310" spans="1:8" x14ac:dyDescent="0.25">
      <c r="A310" t="s">
        <v>294</v>
      </c>
      <c r="B310">
        <v>133282</v>
      </c>
      <c r="C310" s="1">
        <v>3078.26</v>
      </c>
      <c r="D310" s="3">
        <v>44111</v>
      </c>
      <c r="E310" t="str">
        <f>"202010079508"</f>
        <v>202010079508</v>
      </c>
      <c r="F310" t="str">
        <f>"ACCT#007-0000388-000/09242020"</f>
        <v>ACCT#007-0000388-000/09242020</v>
      </c>
      <c r="G310" s="1">
        <v>754.71</v>
      </c>
      <c r="H310" t="str">
        <f>"ACCT#007-0000388-000/09242020"</f>
        <v>ACCT#007-0000388-000/09242020</v>
      </c>
    </row>
    <row r="311" spans="1:8" x14ac:dyDescent="0.25">
      <c r="E311" t="str">
        <f>"202010079509"</f>
        <v>202010079509</v>
      </c>
      <c r="F311" t="str">
        <f>"ACCT#007-0000389-000/09242020"</f>
        <v>ACCT#007-0000389-000/09242020</v>
      </c>
      <c r="G311" s="1">
        <v>165.06</v>
      </c>
      <c r="H311" t="str">
        <f>"ACCT#007-0000389-000/09242020"</f>
        <v>ACCT#007-0000389-000/09242020</v>
      </c>
    </row>
    <row r="312" spans="1:8" x14ac:dyDescent="0.25">
      <c r="E312" t="str">
        <f>"202010079511"</f>
        <v>202010079511</v>
      </c>
      <c r="F312" t="str">
        <f>"ACCT#044-0001240-000/09242020"</f>
        <v>ACCT#044-0001240-000/09242020</v>
      </c>
      <c r="G312" s="1">
        <v>485.82</v>
      </c>
      <c r="H312" t="str">
        <f>"ACCT#044-0001240-000/09242020"</f>
        <v>ACCT#044-0001240-000/09242020</v>
      </c>
    </row>
    <row r="313" spans="1:8" x14ac:dyDescent="0.25">
      <c r="E313" t="str">
        <f>"202010079512"</f>
        <v>202010079512</v>
      </c>
      <c r="F313" t="str">
        <f>"ACCT#044-0001250-000/09242020"</f>
        <v>ACCT#044-0001250-000/09242020</v>
      </c>
      <c r="G313" s="1">
        <v>80.55</v>
      </c>
      <c r="H313" t="str">
        <f>"ACCT#044-0001250-000/09242020"</f>
        <v>ACCT#044-0001250-000/09242020</v>
      </c>
    </row>
    <row r="314" spans="1:8" x14ac:dyDescent="0.25">
      <c r="E314" t="str">
        <f>"202010079513"</f>
        <v>202010079513</v>
      </c>
      <c r="F314" t="str">
        <f>"ACCT#044-0001252-000/0242020"</f>
        <v>ACCT#044-0001252-000/0242020</v>
      </c>
      <c r="G314" s="1">
        <v>1501.68</v>
      </c>
      <c r="H314" t="str">
        <f>"ACCT#044-0001252-000/0242020"</f>
        <v>ACCT#044-0001252-000/0242020</v>
      </c>
    </row>
    <row r="315" spans="1:8" x14ac:dyDescent="0.25">
      <c r="E315" t="str">
        <f>"202010079514"</f>
        <v>202010079514</v>
      </c>
      <c r="F315" t="str">
        <f>"ACCT#044-0001253-000/09242020"</f>
        <v>ACCT#044-0001253-000/09242020</v>
      </c>
      <c r="G315" s="1">
        <v>90.44</v>
      </c>
      <c r="H315" t="str">
        <f>"ACCT#044-0001253-000/09242020"</f>
        <v>ACCT#044-0001253-000/09242020</v>
      </c>
    </row>
    <row r="316" spans="1:8" x14ac:dyDescent="0.25">
      <c r="A316" t="s">
        <v>293</v>
      </c>
      <c r="B316">
        <v>3326</v>
      </c>
      <c r="C316" s="1">
        <v>3424</v>
      </c>
      <c r="D316" s="3">
        <v>44118</v>
      </c>
      <c r="E316" t="str">
        <f>"PMA-0066573"</f>
        <v>PMA-0066573</v>
      </c>
      <c r="F316" t="str">
        <f>"INV PMA-0066573"</f>
        <v>INV PMA-0066573</v>
      </c>
      <c r="G316" s="1">
        <v>3424</v>
      </c>
      <c r="H316" t="str">
        <f>"INV PMA-0066573"</f>
        <v>INV PMA-0066573</v>
      </c>
    </row>
    <row r="317" spans="1:8" x14ac:dyDescent="0.25">
      <c r="A317" t="s">
        <v>292</v>
      </c>
      <c r="B317">
        <v>3427</v>
      </c>
      <c r="C317" s="1">
        <v>260.19</v>
      </c>
      <c r="D317" s="3">
        <v>44131</v>
      </c>
      <c r="E317" t="str">
        <f>"202009-0"</f>
        <v>202009-0</v>
      </c>
      <c r="F317" t="str">
        <f>"INV 202009-0"</f>
        <v>INV 202009-0</v>
      </c>
      <c r="G317" s="1">
        <v>66.599999999999994</v>
      </c>
      <c r="H317" t="str">
        <f>"INV 202009-0"</f>
        <v>INV 202009-0</v>
      </c>
    </row>
    <row r="318" spans="1:8" x14ac:dyDescent="0.25">
      <c r="E318" t="str">
        <f>"202010219726"</f>
        <v>202010219726</v>
      </c>
      <c r="F318" t="str">
        <f>"INDIGENT HEALTH"</f>
        <v>INDIGENT HEALTH</v>
      </c>
      <c r="G318" s="1">
        <v>193.59</v>
      </c>
      <c r="H318" t="str">
        <f>"INDIGENT HEALTH"</f>
        <v>INDIGENT HEALTH</v>
      </c>
    </row>
    <row r="319" spans="1:8" x14ac:dyDescent="0.25">
      <c r="A319" t="s">
        <v>291</v>
      </c>
      <c r="B319">
        <v>133332</v>
      </c>
      <c r="C319" s="1">
        <v>1320</v>
      </c>
      <c r="D319" s="3">
        <v>44117</v>
      </c>
      <c r="E319" t="str">
        <f>"221345-14-001"</f>
        <v>221345-14-001</v>
      </c>
      <c r="F319" t="str">
        <f>"INV 221345-14-001"</f>
        <v>INV 221345-14-001</v>
      </c>
      <c r="G319" s="1">
        <v>1140</v>
      </c>
      <c r="H319" t="str">
        <f>"INV 221345-14-001"</f>
        <v>INV 221345-14-001</v>
      </c>
    </row>
    <row r="320" spans="1:8" x14ac:dyDescent="0.25">
      <c r="E320" t="str">
        <f>"221345-15-001"</f>
        <v>221345-15-001</v>
      </c>
      <c r="F320" t="str">
        <f>"INV 221345-15-001"</f>
        <v>INV 221345-15-001</v>
      </c>
      <c r="G320" s="1">
        <v>180</v>
      </c>
      <c r="H320" t="str">
        <f>"INV 221345-15-001"</f>
        <v>INV 221345-15-001</v>
      </c>
    </row>
    <row r="321" spans="1:8" x14ac:dyDescent="0.25">
      <c r="A321" t="s">
        <v>290</v>
      </c>
      <c r="B321">
        <v>133333</v>
      </c>
      <c r="C321" s="1">
        <v>65.22</v>
      </c>
      <c r="D321" s="3">
        <v>44117</v>
      </c>
      <c r="E321" t="str">
        <f>"4721*02198*1"</f>
        <v>4721*02198*1</v>
      </c>
      <c r="F321" t="str">
        <f>"JAIL MEDICAL"</f>
        <v>JAIL MEDICAL</v>
      </c>
      <c r="G321" s="1">
        <v>65.22</v>
      </c>
      <c r="H321" t="str">
        <f>"JAIL MEDICAL"</f>
        <v>JAIL MEDICAL</v>
      </c>
    </row>
    <row r="322" spans="1:8" x14ac:dyDescent="0.25">
      <c r="A322" t="s">
        <v>289</v>
      </c>
      <c r="B322">
        <v>3400</v>
      </c>
      <c r="C322" s="1">
        <v>126</v>
      </c>
      <c r="D322" s="3">
        <v>44131</v>
      </c>
      <c r="E322" t="str">
        <f>"12457028890"</f>
        <v>12457028890</v>
      </c>
      <c r="F322" t="str">
        <f>"INV 12457028890"</f>
        <v>INV 12457028890</v>
      </c>
      <c r="G322" s="1">
        <v>126</v>
      </c>
      <c r="H322" t="str">
        <f>"INV 12457028890"</f>
        <v>INV 12457028890</v>
      </c>
    </row>
    <row r="323" spans="1:8" x14ac:dyDescent="0.25">
      <c r="A323" t="s">
        <v>288</v>
      </c>
      <c r="B323">
        <v>133334</v>
      </c>
      <c r="C323" s="1">
        <v>12.75</v>
      </c>
      <c r="D323" s="3">
        <v>44117</v>
      </c>
      <c r="E323" t="str">
        <f>"21439430"</f>
        <v>21439430</v>
      </c>
      <c r="F323" t="str">
        <f>"ACCT#434304/PCT#4"</f>
        <v>ACCT#434304/PCT#4</v>
      </c>
      <c r="G323" s="1">
        <v>12.75</v>
      </c>
      <c r="H323" t="str">
        <f>"ACCT#434304/PCT#4"</f>
        <v>ACCT#434304/PCT#4</v>
      </c>
    </row>
    <row r="324" spans="1:8" x14ac:dyDescent="0.25">
      <c r="A324" t="s">
        <v>287</v>
      </c>
      <c r="B324">
        <v>3426</v>
      </c>
      <c r="C324" s="1">
        <v>2194.09</v>
      </c>
      <c r="D324" s="3">
        <v>44131</v>
      </c>
      <c r="E324" t="str">
        <f>"WG00965"</f>
        <v>WG00965</v>
      </c>
      <c r="F324" t="str">
        <f>"ACCT#063/PCT#3"</f>
        <v>ACCT#063/PCT#3</v>
      </c>
      <c r="G324" s="1">
        <v>2194.09</v>
      </c>
      <c r="H324" t="str">
        <f>"ACCT#063/PCT#3"</f>
        <v>ACCT#063/PCT#3</v>
      </c>
    </row>
    <row r="325" spans="1:8" x14ac:dyDescent="0.25">
      <c r="A325" t="s">
        <v>286</v>
      </c>
      <c r="B325">
        <v>3355</v>
      </c>
      <c r="C325" s="1">
        <v>89.7</v>
      </c>
      <c r="D325" s="3">
        <v>44118</v>
      </c>
      <c r="E325" t="str">
        <f>"252511CVW"</f>
        <v>252511CVW</v>
      </c>
      <c r="F325" t="str">
        <f>"CUST#4011/LAMP/PCT#4"</f>
        <v>CUST#4011/LAMP/PCT#4</v>
      </c>
      <c r="G325" s="1">
        <v>89.7</v>
      </c>
      <c r="H325" t="str">
        <f>"CUST#4011/LAMP/PCT#4"</f>
        <v>CUST#4011/LAMP/PCT#4</v>
      </c>
    </row>
    <row r="326" spans="1:8" x14ac:dyDescent="0.25">
      <c r="A326" t="s">
        <v>285</v>
      </c>
      <c r="B326">
        <v>133335</v>
      </c>
      <c r="C326" s="1">
        <v>1409.1</v>
      </c>
      <c r="D326" s="3">
        <v>44117</v>
      </c>
      <c r="E326" t="str">
        <f>"TL99050"</f>
        <v>TL99050</v>
      </c>
      <c r="F326" t="str">
        <f>"ACCT#68930/ANIMAL SVCS"</f>
        <v>ACCT#68930/ANIMAL SVCS</v>
      </c>
      <c r="G326" s="1">
        <v>164.15</v>
      </c>
      <c r="H326" t="str">
        <f>"ACCT#68930/ANIMAL SVCS"</f>
        <v>ACCT#68930/ANIMAL SVCS</v>
      </c>
    </row>
    <row r="327" spans="1:8" x14ac:dyDescent="0.25">
      <c r="E327" t="str">
        <f>""</f>
        <v/>
      </c>
      <c r="F327" t="str">
        <f>""</f>
        <v/>
      </c>
      <c r="H327" t="str">
        <f>"ACCT#68930/ANIMAL SVCS"</f>
        <v>ACCT#68930/ANIMAL SVCS</v>
      </c>
    </row>
    <row r="328" spans="1:8" x14ac:dyDescent="0.25">
      <c r="E328" t="str">
        <f>"TM38686"</f>
        <v>TM38686</v>
      </c>
      <c r="F328" t="str">
        <f>"ACCT#68930/ANIMAL SVCS"</f>
        <v>ACCT#68930/ANIMAL SVCS</v>
      </c>
      <c r="G328" s="1">
        <v>39.200000000000003</v>
      </c>
      <c r="H328" t="str">
        <f>"ACCT#68930/ANIMAL SVCS"</f>
        <v>ACCT#68930/ANIMAL SVCS</v>
      </c>
    </row>
    <row r="329" spans="1:8" x14ac:dyDescent="0.25">
      <c r="E329" t="str">
        <f>"TM39768"</f>
        <v>TM39768</v>
      </c>
      <c r="F329" t="str">
        <f>"ACCT#68930/ANIMAL SVCS"</f>
        <v>ACCT#68930/ANIMAL SVCS</v>
      </c>
      <c r="G329" s="1">
        <v>68.94</v>
      </c>
      <c r="H329" t="str">
        <f>"ACCT#68930/ANIMAL SVCS"</f>
        <v>ACCT#68930/ANIMAL SVCS</v>
      </c>
    </row>
    <row r="330" spans="1:8" x14ac:dyDescent="0.25">
      <c r="E330" t="str">
        <f>"TM49742"</f>
        <v>TM49742</v>
      </c>
      <c r="F330" t="str">
        <f>"ACCT#68930/ANIMAL SVCS"</f>
        <v>ACCT#68930/ANIMAL SVCS</v>
      </c>
      <c r="G330" s="1">
        <v>77.650000000000006</v>
      </c>
      <c r="H330" t="str">
        <f>"ACCT#68930/ANIMAL SVCS"</f>
        <v>ACCT#68930/ANIMAL SVCS</v>
      </c>
    </row>
    <row r="331" spans="1:8" x14ac:dyDescent="0.25">
      <c r="E331" t="str">
        <f>"TM78598"</f>
        <v>TM78598</v>
      </c>
      <c r="F331" t="str">
        <f>"ACCT#68930/ANIMAL SVCS"</f>
        <v>ACCT#68930/ANIMAL SVCS</v>
      </c>
      <c r="G331" s="1">
        <v>123.61</v>
      </c>
      <c r="H331" t="str">
        <f>"ACCT#68930/ANIMAL SVCS"</f>
        <v>ACCT#68930/ANIMAL SVCS</v>
      </c>
    </row>
    <row r="332" spans="1:8" x14ac:dyDescent="0.25">
      <c r="E332" t="str">
        <f>""</f>
        <v/>
      </c>
      <c r="F332" t="str">
        <f>""</f>
        <v/>
      </c>
      <c r="H332" t="str">
        <f>"ACCT#68930/ANIMAL SVCS"</f>
        <v>ACCT#68930/ANIMAL SVCS</v>
      </c>
    </row>
    <row r="333" spans="1:8" x14ac:dyDescent="0.25">
      <c r="E333" t="str">
        <f>"TM79461"</f>
        <v>TM79461</v>
      </c>
      <c r="F333" t="str">
        <f>"ACCT#68930/ANIMAL SVCS"</f>
        <v>ACCT#68930/ANIMAL SVCS</v>
      </c>
      <c r="G333" s="1">
        <v>906.15</v>
      </c>
      <c r="H333" t="str">
        <f>"ACCT#68930/ANIMAL SVCS"</f>
        <v>ACCT#68930/ANIMAL SVCS</v>
      </c>
    </row>
    <row r="334" spans="1:8" x14ac:dyDescent="0.25">
      <c r="E334" t="str">
        <f>""</f>
        <v/>
      </c>
      <c r="F334" t="str">
        <f>""</f>
        <v/>
      </c>
      <c r="H334" t="str">
        <f>"ACCT#68930/ANIMAL SVCS"</f>
        <v>ACCT#68930/ANIMAL SVCS</v>
      </c>
    </row>
    <row r="335" spans="1:8" x14ac:dyDescent="0.25">
      <c r="E335" t="str">
        <f>"TM84493"</f>
        <v>TM84493</v>
      </c>
      <c r="F335" t="str">
        <f>"ACCT#68930/ANIMAL SVCS"</f>
        <v>ACCT#68930/ANIMAL SVCS</v>
      </c>
      <c r="G335" s="1">
        <v>29.4</v>
      </c>
      <c r="H335" t="str">
        <f>"ACCT#68930/ANIMAL SVCS"</f>
        <v>ACCT#68930/ANIMAL SVCS</v>
      </c>
    </row>
    <row r="336" spans="1:8" x14ac:dyDescent="0.25">
      <c r="A336" t="s">
        <v>285</v>
      </c>
      <c r="B336">
        <v>133456</v>
      </c>
      <c r="C336" s="1">
        <v>331.98</v>
      </c>
      <c r="D336" s="3">
        <v>44130</v>
      </c>
      <c r="E336" t="str">
        <f>"TN74522"</f>
        <v>TN74522</v>
      </c>
      <c r="F336" t="str">
        <f>"ACCT#68930/ANIMAL SVCS"</f>
        <v>ACCT#68930/ANIMAL SVCS</v>
      </c>
      <c r="G336" s="1">
        <v>174.38</v>
      </c>
      <c r="H336" t="str">
        <f>"ACCT#68930/ANIMAL SVCS"</f>
        <v>ACCT#68930/ANIMAL SVCS</v>
      </c>
    </row>
    <row r="337" spans="1:8" x14ac:dyDescent="0.25">
      <c r="E337" t="str">
        <f>"TN81477"</f>
        <v>TN81477</v>
      </c>
      <c r="F337" t="str">
        <f>"ACCT#68930/ANIMAL SVCS"</f>
        <v>ACCT#68930/ANIMAL SVCS</v>
      </c>
      <c r="G337" s="1">
        <v>157.6</v>
      </c>
      <c r="H337" t="str">
        <f>"ACCT#68930/ANIMAL SVCS"</f>
        <v>ACCT#68930/ANIMAL SVCS</v>
      </c>
    </row>
    <row r="338" spans="1:8" x14ac:dyDescent="0.25">
      <c r="A338" t="s">
        <v>284</v>
      </c>
      <c r="B338">
        <v>133457</v>
      </c>
      <c r="C338" s="1">
        <v>1000</v>
      </c>
      <c r="D338" s="3">
        <v>44130</v>
      </c>
      <c r="E338" t="str">
        <f>"202010209711"</f>
        <v>202010209711</v>
      </c>
      <c r="F338" t="str">
        <f>"SEPTEMBER PSYCH EVAL"</f>
        <v>SEPTEMBER PSYCH EVAL</v>
      </c>
      <c r="G338" s="1">
        <v>500</v>
      </c>
      <c r="H338" t="str">
        <f>"SEPTEMBER PSYCH EVAL"</f>
        <v>SEPTEMBER PSYCH EVAL</v>
      </c>
    </row>
    <row r="339" spans="1:8" x14ac:dyDescent="0.25">
      <c r="E339" t="str">
        <f>"202010209713"</f>
        <v>202010209713</v>
      </c>
      <c r="F339" t="str">
        <f>"PSYCH EVALS"</f>
        <v>PSYCH EVALS</v>
      </c>
      <c r="G339" s="1">
        <v>500</v>
      </c>
      <c r="H339" t="str">
        <f>"PSYCH EVALS"</f>
        <v>PSYCH EVALS</v>
      </c>
    </row>
    <row r="340" spans="1:8" x14ac:dyDescent="0.25">
      <c r="A340" t="s">
        <v>283</v>
      </c>
      <c r="B340">
        <v>3421</v>
      </c>
      <c r="C340" s="1">
        <v>875</v>
      </c>
      <c r="D340" s="3">
        <v>44131</v>
      </c>
      <c r="E340" t="str">
        <f>"202010149570"</f>
        <v>202010149570</v>
      </c>
      <c r="F340" t="str">
        <f>"17188"</f>
        <v>17188</v>
      </c>
      <c r="G340" s="1">
        <v>500</v>
      </c>
      <c r="H340" t="str">
        <f>"17188"</f>
        <v>17188</v>
      </c>
    </row>
    <row r="341" spans="1:8" x14ac:dyDescent="0.25">
      <c r="E341" t="str">
        <f>"202010209679"</f>
        <v>202010209679</v>
      </c>
      <c r="F341" t="str">
        <f>"BC-2020519B  BC-20200519C"</f>
        <v>BC-2020519B  BC-20200519C</v>
      </c>
      <c r="G341" s="1">
        <v>375</v>
      </c>
      <c r="H341" t="str">
        <f>"BC-2020519B  BC-20200519C"</f>
        <v>BC-2020519B  BC-20200519C</v>
      </c>
    </row>
    <row r="342" spans="1:8" x14ac:dyDescent="0.25">
      <c r="A342" t="s">
        <v>282</v>
      </c>
      <c r="B342">
        <v>3353</v>
      </c>
      <c r="C342" s="1">
        <v>100</v>
      </c>
      <c r="D342" s="3">
        <v>44118</v>
      </c>
      <c r="E342" t="str">
        <f>"202010059377"</f>
        <v>202010059377</v>
      </c>
      <c r="F342" t="str">
        <f>"LEGAL CONSULT SVCS-SEPTEMBER"</f>
        <v>LEGAL CONSULT SVCS-SEPTEMBER</v>
      </c>
      <c r="G342" s="1">
        <v>100</v>
      </c>
      <c r="H342" t="str">
        <f>"LEGAL CONSULT SVCS-SEPT"</f>
        <v>LEGAL CONSULT SVCS-SEPT</v>
      </c>
    </row>
    <row r="343" spans="1:8" x14ac:dyDescent="0.25">
      <c r="A343" t="s">
        <v>281</v>
      </c>
      <c r="B343">
        <v>3331</v>
      </c>
      <c r="C343" s="1">
        <v>1050</v>
      </c>
      <c r="D343" s="3">
        <v>44118</v>
      </c>
      <c r="E343" t="str">
        <f>"202010059316"</f>
        <v>202010059316</v>
      </c>
      <c r="F343" t="str">
        <f>"17-18754"</f>
        <v>17-18754</v>
      </c>
      <c r="G343" s="1">
        <v>75</v>
      </c>
      <c r="H343" t="str">
        <f>"17-18754"</f>
        <v>17-18754</v>
      </c>
    </row>
    <row r="344" spans="1:8" x14ac:dyDescent="0.25">
      <c r="E344" t="str">
        <f>"202010059317"</f>
        <v>202010059317</v>
      </c>
      <c r="F344" t="str">
        <f>"20-20096"</f>
        <v>20-20096</v>
      </c>
      <c r="G344" s="1">
        <v>187.5</v>
      </c>
      <c r="H344" t="str">
        <f>"20-20096"</f>
        <v>20-20096</v>
      </c>
    </row>
    <row r="345" spans="1:8" x14ac:dyDescent="0.25">
      <c r="E345" t="str">
        <f>"202010059318"</f>
        <v>202010059318</v>
      </c>
      <c r="F345" t="str">
        <f>"19-19679"</f>
        <v>19-19679</v>
      </c>
      <c r="G345" s="1">
        <v>172.5</v>
      </c>
      <c r="H345" t="str">
        <f>"19-19679"</f>
        <v>19-19679</v>
      </c>
    </row>
    <row r="346" spans="1:8" x14ac:dyDescent="0.25">
      <c r="E346" t="str">
        <f>"202010059319"</f>
        <v>202010059319</v>
      </c>
      <c r="F346" t="str">
        <f>"19-19967"</f>
        <v>19-19967</v>
      </c>
      <c r="G346" s="1">
        <v>105</v>
      </c>
      <c r="H346" t="str">
        <f>"19-19967"</f>
        <v>19-19967</v>
      </c>
    </row>
    <row r="347" spans="1:8" x14ac:dyDescent="0.25">
      <c r="E347" t="str">
        <f>"202010059320"</f>
        <v>202010059320</v>
      </c>
      <c r="F347" t="str">
        <f>"20-20394"</f>
        <v>20-20394</v>
      </c>
      <c r="G347" s="1">
        <v>150</v>
      </c>
      <c r="H347" t="str">
        <f>"20-20394"</f>
        <v>20-20394</v>
      </c>
    </row>
    <row r="348" spans="1:8" x14ac:dyDescent="0.25">
      <c r="E348" t="str">
        <f>"202010059321"</f>
        <v>202010059321</v>
      </c>
      <c r="F348" t="str">
        <f>"20-20130"</f>
        <v>20-20130</v>
      </c>
      <c r="G348" s="1">
        <v>360</v>
      </c>
      <c r="H348" t="str">
        <f>"20-20130"</f>
        <v>20-20130</v>
      </c>
    </row>
    <row r="349" spans="1:8" x14ac:dyDescent="0.25">
      <c r="A349" t="s">
        <v>280</v>
      </c>
      <c r="B349">
        <v>133336</v>
      </c>
      <c r="C349" s="1">
        <v>1114.57</v>
      </c>
      <c r="D349" s="3">
        <v>44117</v>
      </c>
      <c r="E349" t="str">
        <f>"2042814 2047780"</f>
        <v>2042814 2047780</v>
      </c>
      <c r="F349" t="str">
        <f>"INV 2042814"</f>
        <v>INV 2042814</v>
      </c>
      <c r="G349" s="1">
        <v>1114.57</v>
      </c>
      <c r="H349" t="str">
        <f>"INV 2042814"</f>
        <v>INV 2042814</v>
      </c>
    </row>
    <row r="350" spans="1:8" x14ac:dyDescent="0.25">
      <c r="E350" t="str">
        <f>""</f>
        <v/>
      </c>
      <c r="F350" t="str">
        <f>""</f>
        <v/>
      </c>
      <c r="H350" t="str">
        <f>"INV 2047780"</f>
        <v>INV 2047780</v>
      </c>
    </row>
    <row r="351" spans="1:8" x14ac:dyDescent="0.25">
      <c r="A351" t="s">
        <v>280</v>
      </c>
      <c r="B351">
        <v>133458</v>
      </c>
      <c r="C351" s="1">
        <v>1006.48</v>
      </c>
      <c r="D351" s="3">
        <v>44130</v>
      </c>
      <c r="E351" t="str">
        <f>"2052325 2057371"</f>
        <v>2052325 2057371</v>
      </c>
      <c r="F351" t="str">
        <f>"INV 2052325"</f>
        <v>INV 2052325</v>
      </c>
      <c r="G351" s="1">
        <v>1006.48</v>
      </c>
      <c r="H351" t="str">
        <f>"INV 2052325"</f>
        <v>INV 2052325</v>
      </c>
    </row>
    <row r="352" spans="1:8" x14ac:dyDescent="0.25">
      <c r="E352" t="str">
        <f>""</f>
        <v/>
      </c>
      <c r="F352" t="str">
        <f>""</f>
        <v/>
      </c>
      <c r="H352" t="str">
        <f>"INV 2057371"</f>
        <v>INV 2057371</v>
      </c>
    </row>
    <row r="353" spans="1:8" x14ac:dyDescent="0.25">
      <c r="A353" t="s">
        <v>279</v>
      </c>
      <c r="B353">
        <v>133337</v>
      </c>
      <c r="C353" s="1">
        <v>712.36</v>
      </c>
      <c r="D353" s="3">
        <v>44117</v>
      </c>
      <c r="E353" t="str">
        <f>"202010069388"</f>
        <v>202010069388</v>
      </c>
      <c r="F353" t="str">
        <f>"Monitors for JP 4"</f>
        <v>Monitors for JP 4</v>
      </c>
      <c r="G353" s="1">
        <v>712.36</v>
      </c>
      <c r="H353" t="str">
        <f>"P2319H"</f>
        <v>P2319H</v>
      </c>
    </row>
    <row r="354" spans="1:8" x14ac:dyDescent="0.25">
      <c r="E354" t="str">
        <f>""</f>
        <v/>
      </c>
      <c r="F354" t="str">
        <f>""</f>
        <v/>
      </c>
      <c r="H354" t="str">
        <f>"Premier Discount"</f>
        <v>Premier Discount</v>
      </c>
    </row>
    <row r="355" spans="1:8" x14ac:dyDescent="0.25">
      <c r="A355" t="s">
        <v>279</v>
      </c>
      <c r="B355">
        <v>133459</v>
      </c>
      <c r="C355" s="1">
        <v>393.06</v>
      </c>
      <c r="D355" s="3">
        <v>44130</v>
      </c>
      <c r="E355" t="str">
        <f>"202010209705"</f>
        <v>202010209705</v>
      </c>
      <c r="F355" t="str">
        <f>"Keyboard for XPS 15"</f>
        <v>Keyboard for XPS 15</v>
      </c>
      <c r="G355" s="1">
        <v>38.99</v>
      </c>
      <c r="H355" t="str">
        <f>"Keyboard"</f>
        <v>Keyboard</v>
      </c>
    </row>
    <row r="356" spans="1:8" x14ac:dyDescent="0.25">
      <c r="E356" t="str">
        <f>"202010209706"</f>
        <v>202010209706</v>
      </c>
      <c r="F356" t="str">
        <f>"Memory Upgrade"</f>
        <v>Memory Upgrade</v>
      </c>
      <c r="G356" s="1">
        <v>175.98</v>
      </c>
      <c r="H356" t="str">
        <f>"Memory Upgrade"</f>
        <v>Memory Upgrade</v>
      </c>
    </row>
    <row r="357" spans="1:8" x14ac:dyDescent="0.25">
      <c r="E357" t="str">
        <f>"30000699999718"</f>
        <v>30000699999718</v>
      </c>
      <c r="F357" t="str">
        <f>"Monitor for Elections"</f>
        <v>Monitor for Elections</v>
      </c>
      <c r="G357" s="1">
        <v>178.09</v>
      </c>
      <c r="H357" t="str">
        <f>"P2319H"</f>
        <v>P2319H</v>
      </c>
    </row>
    <row r="358" spans="1:8" x14ac:dyDescent="0.25">
      <c r="E358" t="str">
        <f>""</f>
        <v/>
      </c>
      <c r="F358" t="str">
        <f>""</f>
        <v/>
      </c>
      <c r="H358" t="str">
        <f>"Premier Discount"</f>
        <v>Premier Discount</v>
      </c>
    </row>
    <row r="359" spans="1:8" x14ac:dyDescent="0.25">
      <c r="A359" t="s">
        <v>278</v>
      </c>
      <c r="B359">
        <v>3356</v>
      </c>
      <c r="C359" s="1">
        <v>1936.25</v>
      </c>
      <c r="D359" s="3">
        <v>44118</v>
      </c>
      <c r="E359" t="str">
        <f>"BATX016963"</f>
        <v>BATX016963</v>
      </c>
      <c r="F359" t="str">
        <f>"INV BATX016963"</f>
        <v>INV BATX016963</v>
      </c>
      <c r="G359" s="1">
        <v>1936.25</v>
      </c>
      <c r="H359" t="str">
        <f>"INV BATX016963"</f>
        <v>INV BATX016963</v>
      </c>
    </row>
    <row r="360" spans="1:8" x14ac:dyDescent="0.25">
      <c r="A360" t="s">
        <v>277</v>
      </c>
      <c r="B360">
        <v>133460</v>
      </c>
      <c r="C360" s="1">
        <v>520</v>
      </c>
      <c r="D360" s="3">
        <v>44130</v>
      </c>
      <c r="E360" t="str">
        <f>"27095"</f>
        <v>27095</v>
      </c>
      <c r="F360" t="str">
        <f>"INV 27095"</f>
        <v>INV 27095</v>
      </c>
      <c r="G360" s="1">
        <v>520</v>
      </c>
      <c r="H360" t="str">
        <f>"INV 27095"</f>
        <v>INV 27095</v>
      </c>
    </row>
    <row r="361" spans="1:8" x14ac:dyDescent="0.25">
      <c r="A361" t="s">
        <v>276</v>
      </c>
      <c r="B361">
        <v>133237</v>
      </c>
      <c r="C361" s="1">
        <v>749.4</v>
      </c>
      <c r="D361" s="3">
        <v>44105</v>
      </c>
      <c r="E361" t="str">
        <f>"202010019131"</f>
        <v>202010019131</v>
      </c>
      <c r="F361" t="str">
        <f>"ACCT#405900029213 / 10012020"</f>
        <v>ACCT#405900029213 / 10012020</v>
      </c>
      <c r="G361" s="1">
        <v>374.7</v>
      </c>
      <c r="H361" t="str">
        <f>"ACCT#405900029213 / 10012020"</f>
        <v>ACCT#405900029213 / 10012020</v>
      </c>
    </row>
    <row r="362" spans="1:8" x14ac:dyDescent="0.25">
      <c r="E362" t="str">
        <f>"202010019132"</f>
        <v>202010019132</v>
      </c>
      <c r="F362" t="str">
        <f>"ACCT#405900029225 / 10012020"</f>
        <v>ACCT#405900029225 / 10012020</v>
      </c>
      <c r="G362" s="1">
        <v>187.35</v>
      </c>
      <c r="H362" t="str">
        <f>"ACCT#405900029225 / 10012020"</f>
        <v>ACCT#405900029225 / 10012020</v>
      </c>
    </row>
    <row r="363" spans="1:8" x14ac:dyDescent="0.25">
      <c r="E363" t="str">
        <f>"202010019133"</f>
        <v>202010019133</v>
      </c>
      <c r="F363" t="str">
        <f>"ACCT#405900028789 / 10012020"</f>
        <v>ACCT#405900028789 / 10012020</v>
      </c>
      <c r="G363" s="1">
        <v>187.35</v>
      </c>
      <c r="H363" t="str">
        <f>"ACCT#405900028789 / 10012020"</f>
        <v>ACCT#405900028789 / 10012020</v>
      </c>
    </row>
    <row r="364" spans="1:8" x14ac:dyDescent="0.25">
      <c r="A364" t="s">
        <v>276</v>
      </c>
      <c r="B364">
        <v>133424</v>
      </c>
      <c r="C364" s="1">
        <v>749.4</v>
      </c>
      <c r="D364" s="3">
        <v>44125</v>
      </c>
      <c r="E364" t="str">
        <f>"202010219756"</f>
        <v>202010219756</v>
      </c>
      <c r="F364" t="str">
        <f>"ACCT#405900029213 / 11012020"</f>
        <v>ACCT#405900029213 / 11012020</v>
      </c>
      <c r="G364" s="1">
        <v>374.7</v>
      </c>
      <c r="H364" t="str">
        <f>"ACCT#405900029213 / 11012020"</f>
        <v>ACCT#405900029213 / 11012020</v>
      </c>
    </row>
    <row r="365" spans="1:8" x14ac:dyDescent="0.25">
      <c r="E365" t="str">
        <f>"202010219757"</f>
        <v>202010219757</v>
      </c>
      <c r="F365" t="str">
        <f>"ACCT#405900029225 / 11012020"</f>
        <v>ACCT#405900029225 / 11012020</v>
      </c>
      <c r="G365" s="1">
        <v>187.35</v>
      </c>
      <c r="H365" t="str">
        <f>"ACCT#405900029225 / 11012020"</f>
        <v>ACCT#405900029225 / 11012020</v>
      </c>
    </row>
    <row r="366" spans="1:8" x14ac:dyDescent="0.25">
      <c r="E366" t="str">
        <f>"202010219758"</f>
        <v>202010219758</v>
      </c>
      <c r="F366" t="str">
        <f>"ACCT#405900028789 / 11012020"</f>
        <v>ACCT#405900028789 / 11012020</v>
      </c>
      <c r="G366" s="1">
        <v>187.35</v>
      </c>
      <c r="H366" t="str">
        <f>"ACCT#405900028789 / 11012020"</f>
        <v>ACCT#405900028789 / 11012020</v>
      </c>
    </row>
    <row r="367" spans="1:8" x14ac:dyDescent="0.25">
      <c r="A367" t="s">
        <v>275</v>
      </c>
      <c r="B367">
        <v>3344</v>
      </c>
      <c r="C367" s="1">
        <v>2362.34</v>
      </c>
      <c r="D367" s="3">
        <v>44118</v>
      </c>
      <c r="E367" t="str">
        <f>"29607B"</f>
        <v>29607B</v>
      </c>
      <c r="F367" t="str">
        <f>"INV 29607B"</f>
        <v>INV 29607B</v>
      </c>
      <c r="G367" s="1">
        <v>2362.34</v>
      </c>
      <c r="H367" t="str">
        <f>"INV 29607B"</f>
        <v>INV 29607B</v>
      </c>
    </row>
    <row r="368" spans="1:8" x14ac:dyDescent="0.25">
      <c r="A368" t="s">
        <v>275</v>
      </c>
      <c r="B368">
        <v>3413</v>
      </c>
      <c r="C368" s="1">
        <v>2228.67</v>
      </c>
      <c r="D368" s="3">
        <v>44131</v>
      </c>
      <c r="E368" t="str">
        <f>"29716B"</f>
        <v>29716B</v>
      </c>
      <c r="F368" t="str">
        <f>"INV 29716B"</f>
        <v>INV 29716B</v>
      </c>
      <c r="G368" s="1">
        <v>2228.67</v>
      </c>
      <c r="H368" t="str">
        <f>"INV 29716B"</f>
        <v>INV 29716B</v>
      </c>
    </row>
    <row r="369" spans="1:8" x14ac:dyDescent="0.25">
      <c r="A369" t="s">
        <v>274</v>
      </c>
      <c r="B369">
        <v>133461</v>
      </c>
      <c r="C369" s="1">
        <v>2437.2399999999998</v>
      </c>
      <c r="D369" s="3">
        <v>44130</v>
      </c>
      <c r="E369" t="str">
        <f>"39517"</f>
        <v>39517</v>
      </c>
      <c r="F369" t="str">
        <f>"PARTS/PCT#3"</f>
        <v>PARTS/PCT#3</v>
      </c>
      <c r="G369" s="1">
        <v>1073.56</v>
      </c>
      <c r="H369" t="str">
        <f>"PARTS/PCT#3"</f>
        <v>PARTS/PCT#3</v>
      </c>
    </row>
    <row r="370" spans="1:8" x14ac:dyDescent="0.25">
      <c r="E370" t="str">
        <f>"39522"</f>
        <v>39522</v>
      </c>
      <c r="F370" t="str">
        <f>"PARTS/PCT#3"</f>
        <v>PARTS/PCT#3</v>
      </c>
      <c r="G370" s="1">
        <v>1363.68</v>
      </c>
      <c r="H370" t="str">
        <f>"PARTS/PCT#3"</f>
        <v>PARTS/PCT#3</v>
      </c>
    </row>
    <row r="371" spans="1:8" x14ac:dyDescent="0.25">
      <c r="A371" t="s">
        <v>273</v>
      </c>
      <c r="B371">
        <v>133338</v>
      </c>
      <c r="C371" s="1">
        <v>1275</v>
      </c>
      <c r="D371" s="3">
        <v>44117</v>
      </c>
      <c r="E371" t="str">
        <f>"007"</f>
        <v>007</v>
      </c>
      <c r="F371" t="str">
        <f>"TRANSLATION SVCS"</f>
        <v>TRANSLATION SVCS</v>
      </c>
      <c r="G371" s="1">
        <v>1275</v>
      </c>
      <c r="H371" t="str">
        <f>"TRANSLATION SVCS"</f>
        <v>TRANSLATION SVCS</v>
      </c>
    </row>
    <row r="372" spans="1:8" x14ac:dyDescent="0.25">
      <c r="A372" t="s">
        <v>272</v>
      </c>
      <c r="B372">
        <v>3379</v>
      </c>
      <c r="C372" s="1">
        <v>1250</v>
      </c>
      <c r="D372" s="3">
        <v>44118</v>
      </c>
      <c r="E372" t="str">
        <f>"202009309100"</f>
        <v>202009309100</v>
      </c>
      <c r="F372" t="str">
        <f>"4022720-5"</f>
        <v>4022720-5</v>
      </c>
      <c r="G372" s="1">
        <v>400</v>
      </c>
      <c r="H372" t="str">
        <f>"4022720-5"</f>
        <v>4022720-5</v>
      </c>
    </row>
    <row r="373" spans="1:8" x14ac:dyDescent="0.25">
      <c r="E373" t="str">
        <f>"202010019124"</f>
        <v>202010019124</v>
      </c>
      <c r="F373" t="str">
        <f>"16116"</f>
        <v>16116</v>
      </c>
      <c r="G373" s="1">
        <v>600</v>
      </c>
      <c r="H373" t="str">
        <f>"16116"</f>
        <v>16116</v>
      </c>
    </row>
    <row r="374" spans="1:8" x14ac:dyDescent="0.25">
      <c r="E374" t="str">
        <f>"202010059372"</f>
        <v>202010059372</v>
      </c>
      <c r="F374" t="str">
        <f>"DCPC-20-042"</f>
        <v>DCPC-20-042</v>
      </c>
      <c r="G374" s="1">
        <v>250</v>
      </c>
      <c r="H374" t="str">
        <f>"DCPC-20-042"</f>
        <v>DCPC-20-042</v>
      </c>
    </row>
    <row r="375" spans="1:8" x14ac:dyDescent="0.25">
      <c r="A375" t="s">
        <v>272</v>
      </c>
      <c r="B375">
        <v>3454</v>
      </c>
      <c r="C375" s="1">
        <v>4125</v>
      </c>
      <c r="D375" s="3">
        <v>44131</v>
      </c>
      <c r="E375" t="str">
        <f>"202010149565"</f>
        <v>202010149565</v>
      </c>
      <c r="F375" t="str">
        <f>"DCPC-20-042"</f>
        <v>DCPC-20-042</v>
      </c>
      <c r="G375" s="1">
        <v>250</v>
      </c>
      <c r="H375" t="str">
        <f>"DCPC-20-042"</f>
        <v>DCPC-20-042</v>
      </c>
    </row>
    <row r="376" spans="1:8" x14ac:dyDescent="0.25">
      <c r="E376" t="str">
        <f>"202010149566"</f>
        <v>202010149566</v>
      </c>
      <c r="F376" t="str">
        <f>"JP109182020C"</f>
        <v>JP109182020C</v>
      </c>
      <c r="G376" s="1">
        <v>400</v>
      </c>
      <c r="H376" t="str">
        <f>"JP109182020C"</f>
        <v>JP109182020C</v>
      </c>
    </row>
    <row r="377" spans="1:8" x14ac:dyDescent="0.25">
      <c r="E377" t="str">
        <f>"202010159623"</f>
        <v>202010159623</v>
      </c>
      <c r="F377" t="str">
        <f>"17210  C180089  JP11023219A"</f>
        <v>17210  C180089  JP11023219A</v>
      </c>
      <c r="G377" s="1">
        <v>2250</v>
      </c>
      <c r="H377" t="str">
        <f>"17210  C180089  JP11023219A"</f>
        <v>17210  C180089  JP11023219A</v>
      </c>
    </row>
    <row r="378" spans="1:8" x14ac:dyDescent="0.25">
      <c r="E378" t="str">
        <f>"202010209685"</f>
        <v>202010209685</v>
      </c>
      <c r="F378" t="str">
        <f>"J-3255"</f>
        <v>J-3255</v>
      </c>
      <c r="G378" s="1">
        <v>250</v>
      </c>
      <c r="H378" t="str">
        <f>"J-3255"</f>
        <v>J-3255</v>
      </c>
    </row>
    <row r="379" spans="1:8" x14ac:dyDescent="0.25">
      <c r="E379" t="str">
        <f>"202010209693"</f>
        <v>202010209693</v>
      </c>
      <c r="F379" t="str">
        <f>"20-20403"</f>
        <v>20-20403</v>
      </c>
      <c r="G379" s="1">
        <v>562.5</v>
      </c>
      <c r="H379" t="str">
        <f>"20-20403"</f>
        <v>20-20403</v>
      </c>
    </row>
    <row r="380" spans="1:8" x14ac:dyDescent="0.25">
      <c r="E380" t="str">
        <f>"202010209694"</f>
        <v>202010209694</v>
      </c>
      <c r="F380" t="str">
        <f>"20-20259"</f>
        <v>20-20259</v>
      </c>
      <c r="G380" s="1">
        <v>300</v>
      </c>
      <c r="H380" t="str">
        <f>"20-20259"</f>
        <v>20-20259</v>
      </c>
    </row>
    <row r="381" spans="1:8" x14ac:dyDescent="0.25">
      <c r="E381" t="str">
        <f>"202010209695"</f>
        <v>202010209695</v>
      </c>
      <c r="F381" t="str">
        <f>"20-20208"</f>
        <v>20-20208</v>
      </c>
      <c r="G381" s="1">
        <v>112.5</v>
      </c>
      <c r="H381" t="str">
        <f>"20-20208"</f>
        <v>20-20208</v>
      </c>
    </row>
    <row r="382" spans="1:8" x14ac:dyDescent="0.25">
      <c r="A382" t="s">
        <v>271</v>
      </c>
      <c r="B382">
        <v>133339</v>
      </c>
      <c r="C382" s="1">
        <v>3520</v>
      </c>
      <c r="D382" s="3">
        <v>44117</v>
      </c>
      <c r="E382" t="str">
        <f>"019"</f>
        <v>019</v>
      </c>
      <c r="F382" t="str">
        <f>"COMM ROAD BASE/PCT#3"</f>
        <v>COMM ROAD BASE/PCT#3</v>
      </c>
      <c r="G382" s="1">
        <v>3520</v>
      </c>
      <c r="H382" t="str">
        <f>"COMM ROAD BASE/PCT#3"</f>
        <v>COMM ROAD BASE/PCT#3</v>
      </c>
    </row>
    <row r="383" spans="1:8" x14ac:dyDescent="0.25">
      <c r="A383" t="s">
        <v>271</v>
      </c>
      <c r="B383">
        <v>133462</v>
      </c>
      <c r="C383" s="1">
        <v>1980</v>
      </c>
      <c r="D383" s="3">
        <v>44130</v>
      </c>
      <c r="E383" t="str">
        <f>"020"</f>
        <v>020</v>
      </c>
      <c r="F383" t="str">
        <f>"9 LOADS COMMERCIAL BASE/PCT#3"</f>
        <v>9 LOADS COMMERCIAL BASE/PCT#3</v>
      </c>
      <c r="G383" s="1">
        <v>1980</v>
      </c>
      <c r="H383" t="str">
        <f>"9 LOADS COMMERCIAL BASE/PCT#3"</f>
        <v>9 LOADS COMMERCIAL BASE/PCT#3</v>
      </c>
    </row>
    <row r="384" spans="1:8" x14ac:dyDescent="0.25">
      <c r="A384" t="s">
        <v>270</v>
      </c>
      <c r="B384">
        <v>3343</v>
      </c>
      <c r="C384" s="1">
        <v>6575</v>
      </c>
      <c r="D384" s="3">
        <v>44118</v>
      </c>
      <c r="E384" t="str">
        <f>"INV-20603"</f>
        <v>INV-20603</v>
      </c>
      <c r="F384" t="str">
        <f>"EASYCAMPAIGN FINANCE/EASY POLL"</f>
        <v>EASYCAMPAIGN FINANCE/EASY POLL</v>
      </c>
      <c r="G384" s="1">
        <v>6575</v>
      </c>
      <c r="H384" t="str">
        <f>"EASYCAMPAIGN FINANCE/EASY POLL"</f>
        <v>EASYCAMPAIGN FINANCE/EASY POLL</v>
      </c>
    </row>
    <row r="385" spans="1:8" x14ac:dyDescent="0.25">
      <c r="A385" t="s">
        <v>269</v>
      </c>
      <c r="B385">
        <v>3429</v>
      </c>
      <c r="C385" s="1">
        <v>1815.39</v>
      </c>
      <c r="D385" s="3">
        <v>44131</v>
      </c>
      <c r="E385" t="str">
        <f>"6257875258 6257863"</f>
        <v>6257875258 6257863</v>
      </c>
      <c r="F385" t="str">
        <f>"INV 6257875258"</f>
        <v>INV 6257875258</v>
      </c>
      <c r="G385" s="1">
        <v>1815.39</v>
      </c>
      <c r="H385" t="str">
        <f>"INV 6257875258"</f>
        <v>INV 6257875258</v>
      </c>
    </row>
    <row r="386" spans="1:8" x14ac:dyDescent="0.25">
      <c r="E386" t="str">
        <f>""</f>
        <v/>
      </c>
      <c r="F386" t="str">
        <f>""</f>
        <v/>
      </c>
      <c r="H386" t="str">
        <f>"INV 6257863840"</f>
        <v>INV 6257863840</v>
      </c>
    </row>
    <row r="387" spans="1:8" x14ac:dyDescent="0.25">
      <c r="A387" t="s">
        <v>268</v>
      </c>
      <c r="B387">
        <v>133463</v>
      </c>
      <c r="C387" s="1">
        <v>347.89</v>
      </c>
      <c r="D387" s="3">
        <v>44130</v>
      </c>
      <c r="E387" t="str">
        <f>"6000094380"</f>
        <v>6000094380</v>
      </c>
      <c r="F387" t="str">
        <f>"ACCT#3422853/ANIMAL CONTROL"</f>
        <v>ACCT#3422853/ANIMAL CONTROL</v>
      </c>
      <c r="G387" s="1">
        <v>347.89</v>
      </c>
      <c r="H387" t="str">
        <f>"ACCT#3422853/ANIMAL CONTROL"</f>
        <v>ACCT#3422853/ANIMAL CONTROL</v>
      </c>
    </row>
    <row r="388" spans="1:8" x14ac:dyDescent="0.25">
      <c r="A388" t="s">
        <v>267</v>
      </c>
      <c r="B388">
        <v>133340</v>
      </c>
      <c r="C388" s="1">
        <v>59611.49</v>
      </c>
      <c r="D388" s="3">
        <v>44117</v>
      </c>
      <c r="E388" t="str">
        <f>"1145076"</f>
        <v>1145076</v>
      </c>
      <c r="F388" t="str">
        <f>"ACCT#B06875/ORD#1231574/ELECT"</f>
        <v>ACCT#B06875/ORD#1231574/ELECT</v>
      </c>
      <c r="G388" s="1">
        <v>17525</v>
      </c>
      <c r="H388" t="str">
        <f>"ACCT#B06875/ORD#1231574/ELECT"</f>
        <v>ACCT#B06875/ORD#1231574/ELECT</v>
      </c>
    </row>
    <row r="389" spans="1:8" x14ac:dyDescent="0.25">
      <c r="E389" t="str">
        <f>"1156016"</f>
        <v>1156016</v>
      </c>
      <c r="F389" t="str">
        <f>"ACCT#B06875/BALLOTS"</f>
        <v>ACCT#B06875/BALLOTS</v>
      </c>
      <c r="G389" s="1">
        <v>2946.06</v>
      </c>
      <c r="H389" t="str">
        <f>"ACCT#B06875/BALLOTS"</f>
        <v>ACCT#B06875/BALLOTS</v>
      </c>
    </row>
    <row r="390" spans="1:8" x14ac:dyDescent="0.25">
      <c r="E390" t="str">
        <f>"1156017"</f>
        <v>1156017</v>
      </c>
      <c r="F390" t="str">
        <f>"ACCT#B06875/BALLOTS"</f>
        <v>ACCT#B06875/BALLOTS</v>
      </c>
      <c r="G390" s="1">
        <v>9306.7999999999993</v>
      </c>
      <c r="H390" t="str">
        <f>"ACCT#B06875/BALLOTS"</f>
        <v>ACCT#B06875/BALLOTS</v>
      </c>
    </row>
    <row r="391" spans="1:8" x14ac:dyDescent="0.25">
      <c r="E391" t="str">
        <f>"1156027"</f>
        <v>1156027</v>
      </c>
      <c r="F391" t="str">
        <f>"ACCT#B06875/EV CARDS"</f>
        <v>ACCT#B06875/EV CARDS</v>
      </c>
      <c r="G391" s="1">
        <v>2173.7199999999998</v>
      </c>
      <c r="H391" t="str">
        <f>"ACCT#B06875/EV CARDS"</f>
        <v>ACCT#B06875/EV CARDS</v>
      </c>
    </row>
    <row r="392" spans="1:8" x14ac:dyDescent="0.25">
      <c r="E392" t="str">
        <f>"1156766"</f>
        <v>1156766</v>
      </c>
      <c r="F392" t="str">
        <f>"ACCT#B06875/BALLOTS"</f>
        <v>ACCT#B06875/BALLOTS</v>
      </c>
      <c r="G392" s="1">
        <v>2942.45</v>
      </c>
      <c r="H392" t="str">
        <f>"ACCT#B06875/BALLOTS"</f>
        <v>ACCT#B06875/BALLOTS</v>
      </c>
    </row>
    <row r="393" spans="1:8" x14ac:dyDescent="0.25">
      <c r="E393" t="str">
        <f>"1156767"</f>
        <v>1156767</v>
      </c>
      <c r="F393" t="str">
        <f>"ACCT#B06875/BALLOTS"</f>
        <v>ACCT#B06875/BALLOTS</v>
      </c>
      <c r="G393" s="1">
        <v>9287.76</v>
      </c>
      <c r="H393" t="str">
        <f>"ACCT#B06875/BALLOTS"</f>
        <v>ACCT#B06875/BALLOTS</v>
      </c>
    </row>
    <row r="394" spans="1:8" x14ac:dyDescent="0.25">
      <c r="E394" t="str">
        <f>"1158286"</f>
        <v>1158286</v>
      </c>
      <c r="F394" t="str">
        <f>"ACCT#B06875/CODING"</f>
        <v>ACCT#B06875/CODING</v>
      </c>
      <c r="G394" s="1">
        <v>5881.7</v>
      </c>
      <c r="H394" t="str">
        <f>"ACCT#B06875/CODING"</f>
        <v>ACCT#B06875/CODING</v>
      </c>
    </row>
    <row r="395" spans="1:8" x14ac:dyDescent="0.25">
      <c r="E395" t="str">
        <f>"1158354"</f>
        <v>1158354</v>
      </c>
      <c r="F395" t="str">
        <f>"ACCT#B06875/AUDIO"</f>
        <v>ACCT#B06875/AUDIO</v>
      </c>
      <c r="G395" s="1">
        <v>7343</v>
      </c>
      <c r="H395" t="str">
        <f>"ACCT#B06875/AUDIO"</f>
        <v>ACCT#B06875/AUDIO</v>
      </c>
    </row>
    <row r="396" spans="1:8" x14ac:dyDescent="0.25">
      <c r="E396" t="str">
        <f>"1158355"</f>
        <v>1158355</v>
      </c>
      <c r="F396" t="str">
        <f>"ACCT#B06875/"</f>
        <v>ACCT#B06875/</v>
      </c>
      <c r="G396" s="1">
        <v>2205</v>
      </c>
      <c r="H396" t="str">
        <f>"ACCT#B06875/"</f>
        <v>ACCT#B06875/</v>
      </c>
    </row>
    <row r="397" spans="1:8" x14ac:dyDescent="0.25">
      <c r="A397" t="s">
        <v>267</v>
      </c>
      <c r="B397">
        <v>133464</v>
      </c>
      <c r="C397" s="1">
        <v>68850</v>
      </c>
      <c r="D397" s="3">
        <v>44130</v>
      </c>
      <c r="E397" t="str">
        <f>"202010209701"</f>
        <v>202010209701</v>
      </c>
      <c r="F397" t="str">
        <f>"Express Vote"</f>
        <v>Express Vote</v>
      </c>
      <c r="G397" s="1">
        <v>68850</v>
      </c>
      <c r="H397" t="str">
        <f>"remaining balance"</f>
        <v>remaining balance</v>
      </c>
    </row>
    <row r="398" spans="1:8" x14ac:dyDescent="0.25">
      <c r="A398" t="s">
        <v>266</v>
      </c>
      <c r="B398">
        <v>133341</v>
      </c>
      <c r="C398" s="1">
        <v>7000</v>
      </c>
      <c r="D398" s="3">
        <v>44117</v>
      </c>
      <c r="E398" t="str">
        <f>"202010069402"</f>
        <v>202010069402</v>
      </c>
      <c r="F398" t="str">
        <f>"FY20-21"</f>
        <v>FY20-21</v>
      </c>
      <c r="G398" s="1">
        <v>7000</v>
      </c>
      <c r="H398" t="str">
        <f>"FY20-21"</f>
        <v>FY20-21</v>
      </c>
    </row>
    <row r="399" spans="1:8" x14ac:dyDescent="0.25">
      <c r="A399" t="s">
        <v>265</v>
      </c>
      <c r="B399">
        <v>3357</v>
      </c>
      <c r="C399" s="1">
        <v>41</v>
      </c>
      <c r="D399" s="3">
        <v>44118</v>
      </c>
      <c r="E399" t="str">
        <f>"100520"</f>
        <v>100520</v>
      </c>
      <c r="F399" t="str">
        <f>"I YR SUBSCRIPTION RENEWAL#1494"</f>
        <v>I YR SUBSCRIPTION RENEWAL#1494</v>
      </c>
      <c r="G399" s="1">
        <v>41</v>
      </c>
      <c r="H399" t="str">
        <f>"I YR SUBSCRIPTION RENEWAL#1494"</f>
        <v>I YR SUBSCRIPTION RENEWAL#1494</v>
      </c>
    </row>
    <row r="400" spans="1:8" x14ac:dyDescent="0.25">
      <c r="A400" t="s">
        <v>265</v>
      </c>
      <c r="B400">
        <v>3428</v>
      </c>
      <c r="C400" s="1">
        <v>1014.5</v>
      </c>
      <c r="D400" s="3">
        <v>44131</v>
      </c>
      <c r="E400" t="str">
        <f>"202010209658"</f>
        <v>202010209658</v>
      </c>
      <c r="F400" t="str">
        <f>"BLACKLANDS PUBLICATIONS INC"</f>
        <v>BLACKLANDS PUBLICATIONS INC</v>
      </c>
      <c r="G400" s="1">
        <v>412.5</v>
      </c>
      <c r="H400" t="str">
        <f>"Public Notice"</f>
        <v>Public Notice</v>
      </c>
    </row>
    <row r="401" spans="1:8" x14ac:dyDescent="0.25">
      <c r="E401" t="str">
        <f>"202010209659"</f>
        <v>202010209659</v>
      </c>
      <c r="F401" t="str">
        <f>"BLACKLANDS PUBLICATIONS INC"</f>
        <v>BLACKLANDS PUBLICATIONS INC</v>
      </c>
      <c r="G401" s="1">
        <v>42</v>
      </c>
      <c r="H401" t="str">
        <f>"Public Notice"</f>
        <v>Public Notice</v>
      </c>
    </row>
    <row r="402" spans="1:8" x14ac:dyDescent="0.25">
      <c r="E402" t="str">
        <f>"202010209660"</f>
        <v>202010209660</v>
      </c>
      <c r="F402" t="str">
        <f>"BLACKLANDS PUBLICATIONS INC"</f>
        <v>BLACKLANDS PUBLICATIONS INC</v>
      </c>
      <c r="G402" s="1">
        <v>190</v>
      </c>
      <c r="H402" t="str">
        <f>"Public Notice"</f>
        <v>Public Notice</v>
      </c>
    </row>
    <row r="403" spans="1:8" x14ac:dyDescent="0.25">
      <c r="E403" t="str">
        <f>"202010209704"</f>
        <v>202010209704</v>
      </c>
      <c r="F403" t="str">
        <f>"Public Notice"</f>
        <v>Public Notice</v>
      </c>
      <c r="G403" s="1">
        <v>190</v>
      </c>
      <c r="H403" t="str">
        <f>"Public Notice"</f>
        <v>Public Notice</v>
      </c>
    </row>
    <row r="404" spans="1:8" x14ac:dyDescent="0.25">
      <c r="E404" t="str">
        <f>"52421-24810"</f>
        <v>52421-24810</v>
      </c>
      <c r="F404" t="str">
        <f>"BLACKLANDS PUBLICATIONS INC"</f>
        <v>BLACKLANDS PUBLICATIONS INC</v>
      </c>
      <c r="G404" s="1">
        <v>180</v>
      </c>
      <c r="H404" t="str">
        <f>"09/09"</f>
        <v>09/09</v>
      </c>
    </row>
    <row r="405" spans="1:8" x14ac:dyDescent="0.25">
      <c r="E405" t="str">
        <f>""</f>
        <v/>
      </c>
      <c r="F405" t="str">
        <f>""</f>
        <v/>
      </c>
      <c r="H405" t="str">
        <f>"09/16"</f>
        <v>09/16</v>
      </c>
    </row>
    <row r="406" spans="1:8" x14ac:dyDescent="0.25">
      <c r="A406" t="s">
        <v>264</v>
      </c>
      <c r="B406">
        <v>133465</v>
      </c>
      <c r="C406" s="1">
        <v>450</v>
      </c>
      <c r="D406" s="3">
        <v>44130</v>
      </c>
      <c r="E406" t="str">
        <f>"202010209669"</f>
        <v>202010209669</v>
      </c>
      <c r="F406" t="str">
        <f>"TRANSPORT - A.L. KASKOTO"</f>
        <v>TRANSPORT - A.L. KASKOTO</v>
      </c>
      <c r="G406" s="1">
        <v>450</v>
      </c>
      <c r="H406" t="str">
        <f>"TRANSPORT - A.L. KASKOTO"</f>
        <v>TRANSPORT - A.L. KASKOTO</v>
      </c>
    </row>
    <row r="407" spans="1:8" x14ac:dyDescent="0.25">
      <c r="A407" t="s">
        <v>263</v>
      </c>
      <c r="B407">
        <v>133420</v>
      </c>
      <c r="C407" s="1">
        <v>1555.19</v>
      </c>
      <c r="D407" s="3">
        <v>44118</v>
      </c>
      <c r="E407" t="str">
        <f>"202010149599"</f>
        <v>202010149599</v>
      </c>
      <c r="F407" t="str">
        <f>"ACCT#007-0008410-002/09302020"</f>
        <v>ACCT#007-0008410-002/09302020</v>
      </c>
      <c r="G407" s="1">
        <v>227.32</v>
      </c>
      <c r="H407" t="str">
        <f>"ACCT#007-0008410-002/09302020"</f>
        <v>ACCT#007-0008410-002/09302020</v>
      </c>
    </row>
    <row r="408" spans="1:8" x14ac:dyDescent="0.25">
      <c r="E408" t="str">
        <f>"202010149600"</f>
        <v>202010149600</v>
      </c>
      <c r="F408" t="str">
        <f>"ACCT#007-0011501-000/09302020"</f>
        <v>ACCT#007-0011501-000/09302020</v>
      </c>
      <c r="G408" s="1">
        <v>80.44</v>
      </c>
      <c r="H408" t="str">
        <f>"ACCT#007-0011501-000/09302020"</f>
        <v>ACCT#007-0011501-000/09302020</v>
      </c>
    </row>
    <row r="409" spans="1:8" x14ac:dyDescent="0.25">
      <c r="E409" t="str">
        <f>"202010149601"</f>
        <v>202010149601</v>
      </c>
      <c r="F409" t="str">
        <f>"ACCT#007-0011510-000/09302020"</f>
        <v>ACCT#007-0011510-000/09302020</v>
      </c>
      <c r="G409" s="1">
        <v>240.58</v>
      </c>
      <c r="H409" t="str">
        <f>"ACCT#007-0011510-000/09302020"</f>
        <v>ACCT#007-0011510-000/09302020</v>
      </c>
    </row>
    <row r="410" spans="1:8" x14ac:dyDescent="0.25">
      <c r="E410" t="str">
        <f>"202010149602"</f>
        <v>202010149602</v>
      </c>
      <c r="F410" t="str">
        <f>"ACCT#007-0011530-000/09302020"</f>
        <v>ACCT#007-0011530-000/09302020</v>
      </c>
      <c r="G410" s="1">
        <v>98.12</v>
      </c>
      <c r="H410" t="str">
        <f>"ACCT#007-0011530-000/09302020"</f>
        <v>ACCT#007-0011530-000/09302020</v>
      </c>
    </row>
    <row r="411" spans="1:8" x14ac:dyDescent="0.25">
      <c r="E411" t="str">
        <f>"202010149603"</f>
        <v>202010149603</v>
      </c>
      <c r="F411" t="str">
        <f>"ACCT#007-0011534-001/09302020"</f>
        <v>ACCT#007-0011534-001/09302020</v>
      </c>
      <c r="G411" s="1">
        <v>169.3</v>
      </c>
      <c r="H411" t="str">
        <f>"ACCT#007-0011534-001/09302020"</f>
        <v>ACCT#007-0011534-001/09302020</v>
      </c>
    </row>
    <row r="412" spans="1:8" x14ac:dyDescent="0.25">
      <c r="E412" t="str">
        <f>"202010149604"</f>
        <v>202010149604</v>
      </c>
      <c r="F412" t="str">
        <f>"ACCT#007-0011535-000/09302020"</f>
        <v>ACCT#007-0011535-000/09302020</v>
      </c>
      <c r="G412" s="1">
        <v>608.11</v>
      </c>
      <c r="H412" t="str">
        <f>"ACCT#007-0011535-000/09302020"</f>
        <v>ACCT#007-0011535-000/09302020</v>
      </c>
    </row>
    <row r="413" spans="1:8" x14ac:dyDescent="0.25">
      <c r="E413" t="str">
        <f>"202010149605"</f>
        <v>202010149605</v>
      </c>
      <c r="F413" t="str">
        <f>"ACCT#007-0011544-001/09302020"</f>
        <v>ACCT#007-0011544-001/09302020</v>
      </c>
      <c r="G413" s="1">
        <v>131.32</v>
      </c>
      <c r="H413" t="str">
        <f>"ACCT#007-0011544-001/09302020"</f>
        <v>ACCT#007-0011544-001/09302020</v>
      </c>
    </row>
    <row r="414" spans="1:8" x14ac:dyDescent="0.25">
      <c r="A414" t="s">
        <v>262</v>
      </c>
      <c r="B414">
        <v>133342</v>
      </c>
      <c r="C414" s="1">
        <v>27697.84</v>
      </c>
      <c r="D414" s="3">
        <v>44117</v>
      </c>
      <c r="E414" t="str">
        <f>"9402350079"</f>
        <v>9402350079</v>
      </c>
      <c r="F414" t="str">
        <f>"ACCT#912922/BOL#27480/PCT#1"</f>
        <v>ACCT#912922/BOL#27480/PCT#1</v>
      </c>
      <c r="G414" s="1">
        <v>12922.8</v>
      </c>
      <c r="H414" t="str">
        <f>"ACCT#912922/BOL#27480/PCT#1"</f>
        <v>ACCT#912922/BOL#27480/PCT#1</v>
      </c>
    </row>
    <row r="415" spans="1:8" x14ac:dyDescent="0.25">
      <c r="E415" t="str">
        <f>"9402350537"</f>
        <v>9402350537</v>
      </c>
      <c r="F415" t="str">
        <f>"ACCT#912897/BOL#27492/PCT#3"</f>
        <v>ACCT#912897/BOL#27492/PCT#3</v>
      </c>
      <c r="G415" s="1">
        <v>14775.04</v>
      </c>
      <c r="H415" t="str">
        <f>"ACCT#912897/BOL#27492/PCT#3"</f>
        <v>ACCT#912897/BOL#27492/PCT#3</v>
      </c>
    </row>
    <row r="416" spans="1:8" x14ac:dyDescent="0.25">
      <c r="A416" t="s">
        <v>262</v>
      </c>
      <c r="B416">
        <v>133466</v>
      </c>
      <c r="C416" s="1">
        <v>36670.94</v>
      </c>
      <c r="D416" s="3">
        <v>44130</v>
      </c>
      <c r="E416" t="str">
        <f>"9402355577"</f>
        <v>9402355577</v>
      </c>
      <c r="F416" t="str">
        <f>"ACCT#912922/BOL#27527/PCT#1"</f>
        <v>ACCT#912922/BOL#27527/PCT#1</v>
      </c>
      <c r="G416" s="1">
        <v>13232.52</v>
      </c>
      <c r="H416" t="str">
        <f>"ACCT#912922/BOL#27527/PCT#1"</f>
        <v>ACCT#912922/BOL#27527/PCT#1</v>
      </c>
    </row>
    <row r="417" spans="1:8" x14ac:dyDescent="0.25">
      <c r="E417" t="str">
        <f>"9402358597"</f>
        <v>9402358597</v>
      </c>
      <c r="F417" t="str">
        <f>"ACCT#912922/BOL#912922/PCT#1"</f>
        <v>ACCT#912922/BOL#912922/PCT#1</v>
      </c>
      <c r="G417" s="1">
        <v>12960.18</v>
      </c>
      <c r="H417" t="str">
        <f>"ACCT#912922/BOL#912922/PCT#1"</f>
        <v>ACCT#912922/BOL#912922/PCT#1</v>
      </c>
    </row>
    <row r="418" spans="1:8" x14ac:dyDescent="0.25">
      <c r="E418" t="str">
        <f>"9402359540"</f>
        <v>9402359540</v>
      </c>
      <c r="F418" t="str">
        <f>"ACCT#912923/BOL#27585/PCT#4"</f>
        <v>ACCT#912923/BOL#27585/PCT#4</v>
      </c>
      <c r="G418" s="1">
        <v>6778.24</v>
      </c>
      <c r="H418" t="str">
        <f>"ACCT#912923/BOL#27585/PCT#4"</f>
        <v>ACCT#912923/BOL#27585/PCT#4</v>
      </c>
    </row>
    <row r="419" spans="1:8" x14ac:dyDescent="0.25">
      <c r="E419" t="str">
        <f>"9402363935"</f>
        <v>9402363935</v>
      </c>
      <c r="F419" t="str">
        <f>"ACCT#912923/BOL#27623/PCT#4"</f>
        <v>ACCT#912923/BOL#27623/PCT#4</v>
      </c>
      <c r="G419" s="1">
        <v>3700</v>
      </c>
      <c r="H419" t="str">
        <f>"ACCT#912923/BOL#27623/PCT#4"</f>
        <v>ACCT#912923/BOL#27623/PCT#4</v>
      </c>
    </row>
    <row r="420" spans="1:8" x14ac:dyDescent="0.25">
      <c r="A420" t="s">
        <v>261</v>
      </c>
      <c r="B420">
        <v>133343</v>
      </c>
      <c r="C420" s="1">
        <v>31.63</v>
      </c>
      <c r="D420" s="3">
        <v>44117</v>
      </c>
      <c r="E420" t="str">
        <f>"202010069485"</f>
        <v>202010069485</v>
      </c>
      <c r="F420" t="str">
        <f>"MILEAGE REIMBURSEMENT"</f>
        <v>MILEAGE REIMBURSEMENT</v>
      </c>
      <c r="G420" s="1">
        <v>31.63</v>
      </c>
      <c r="H420" t="str">
        <f>"MILEAGE REIMBURSEMENT"</f>
        <v>MILEAGE REIMBURSEMENT</v>
      </c>
    </row>
    <row r="421" spans="1:8" x14ac:dyDescent="0.25">
      <c r="A421" t="s">
        <v>260</v>
      </c>
      <c r="B421">
        <v>133467</v>
      </c>
      <c r="C421" s="1">
        <v>63.52</v>
      </c>
      <c r="D421" s="3">
        <v>44130</v>
      </c>
      <c r="E421" t="str">
        <f>"7-151-23657"</f>
        <v>7-151-23657</v>
      </c>
      <c r="F421" t="str">
        <f>"INV 7-151-23657"</f>
        <v>INV 7-151-23657</v>
      </c>
      <c r="G421" s="1">
        <v>63.52</v>
      </c>
      <c r="H421" t="str">
        <f>"INV 7-151-23657"</f>
        <v>INV 7-151-23657</v>
      </c>
    </row>
    <row r="422" spans="1:8" x14ac:dyDescent="0.25">
      <c r="A422" t="s">
        <v>259</v>
      </c>
      <c r="B422">
        <v>133468</v>
      </c>
      <c r="C422" s="1">
        <v>699.45</v>
      </c>
      <c r="D422" s="3">
        <v>44130</v>
      </c>
      <c r="E422" t="str">
        <f>"60679344"</f>
        <v>60679344</v>
      </c>
      <c r="F422" t="str">
        <f>"ACCT#80975-001/PCT#3"</f>
        <v>ACCT#80975-001/PCT#3</v>
      </c>
      <c r="G422" s="1">
        <v>418.29</v>
      </c>
      <c r="H422" t="str">
        <f>"ACCT#80975-001/PCT#3"</f>
        <v>ACCT#80975-001/PCT#3</v>
      </c>
    </row>
    <row r="423" spans="1:8" x14ac:dyDescent="0.25">
      <c r="E423" t="str">
        <f>"60761280"</f>
        <v>60761280</v>
      </c>
      <c r="F423" t="str">
        <f>"ACCT#80975-001/PCT#3"</f>
        <v>ACCT#80975-001/PCT#3</v>
      </c>
      <c r="G423" s="1">
        <v>281.16000000000003</v>
      </c>
      <c r="H423" t="str">
        <f>"ACCT#80975-001/PCT#3"</f>
        <v>ACCT#80975-001/PCT#3</v>
      </c>
    </row>
    <row r="424" spans="1:8" x14ac:dyDescent="0.25">
      <c r="A424" t="s">
        <v>258</v>
      </c>
      <c r="B424">
        <v>3321</v>
      </c>
      <c r="C424" s="1">
        <v>15</v>
      </c>
      <c r="D424" s="3">
        <v>44118</v>
      </c>
      <c r="E424" t="str">
        <f>"202010019129"</f>
        <v>202010019129</v>
      </c>
      <c r="F424" t="str">
        <f>"REIMBURSE BAIL BOND COUPONS"</f>
        <v>REIMBURSE BAIL BOND COUPONS</v>
      </c>
      <c r="G424" s="1">
        <v>15</v>
      </c>
      <c r="H424" t="str">
        <f>"REIMBURSE BAIL BOND COUPONS"</f>
        <v>REIMBURSE BAIL BOND COUPONS</v>
      </c>
    </row>
    <row r="425" spans="1:8" x14ac:dyDescent="0.25">
      <c r="A425" t="s">
        <v>257</v>
      </c>
      <c r="B425">
        <v>133469</v>
      </c>
      <c r="C425" s="1">
        <v>1600</v>
      </c>
      <c r="D425" s="3">
        <v>44130</v>
      </c>
      <c r="E425" t="s">
        <v>208</v>
      </c>
      <c r="F425" s="4" t="str">
        <f>"RESTITUTION - D. DOERFLINGER"</f>
        <v>RESTITUTION - D. DOERFLINGER</v>
      </c>
      <c r="G425" s="1">
        <v>1600</v>
      </c>
      <c r="H425" t="str">
        <f>"RESTITUTION - D. DOERFLINGER"</f>
        <v>RESTITUTION - D. DOERFLINGER</v>
      </c>
    </row>
    <row r="426" spans="1:8" x14ac:dyDescent="0.25">
      <c r="A426" t="s">
        <v>256</v>
      </c>
      <c r="B426">
        <v>3352</v>
      </c>
      <c r="C426" s="1">
        <v>112.95</v>
      </c>
      <c r="D426" s="3">
        <v>44118</v>
      </c>
      <c r="E426" t="str">
        <f>"21904RP"</f>
        <v>21904RP</v>
      </c>
      <c r="F426" t="str">
        <f>"ACCT#3326/PCT#4"</f>
        <v>ACCT#3326/PCT#4</v>
      </c>
      <c r="G426" s="1">
        <v>112.95</v>
      </c>
      <c r="H426" t="str">
        <f>"ACCT#3326/PCT#4"</f>
        <v>ACCT#3326/PCT#4</v>
      </c>
    </row>
    <row r="427" spans="1:8" x14ac:dyDescent="0.25">
      <c r="A427" t="s">
        <v>256</v>
      </c>
      <c r="B427">
        <v>3423</v>
      </c>
      <c r="C427" s="1">
        <v>372.65</v>
      </c>
      <c r="D427" s="3">
        <v>44131</v>
      </c>
      <c r="E427" t="str">
        <f>"51561AP"</f>
        <v>51561AP</v>
      </c>
      <c r="F427" t="str">
        <f>"ACCT#3324/PUMP/PCT#3"</f>
        <v>ACCT#3324/PUMP/PCT#3</v>
      </c>
      <c r="G427" s="1">
        <v>372.65</v>
      </c>
      <c r="H427" t="str">
        <f>"ACCT#3324/PUMP/PCT#3"</f>
        <v>ACCT#3324/PUMP/PCT#3</v>
      </c>
    </row>
    <row r="428" spans="1:8" x14ac:dyDescent="0.25">
      <c r="A428" t="s">
        <v>255</v>
      </c>
      <c r="B428">
        <v>3358</v>
      </c>
      <c r="C428" s="1">
        <v>1587.97</v>
      </c>
      <c r="D428" s="3">
        <v>44118</v>
      </c>
      <c r="E428" t="str">
        <f>"112547"</f>
        <v>112547</v>
      </c>
      <c r="F428" t="str">
        <f>"WINDOW ENVELOPES-DEVLPMNT SVCS"</f>
        <v>WINDOW ENVELOPES-DEVLPMNT SVCS</v>
      </c>
      <c r="G428" s="1">
        <v>85.98</v>
      </c>
      <c r="H428" t="str">
        <f>"WINDOW ENVELOPES-DEVLPMNT SVCS"</f>
        <v>WINDOW ENVELOPES-DEVLPMNT SVCS</v>
      </c>
    </row>
    <row r="429" spans="1:8" x14ac:dyDescent="0.25">
      <c r="E429" t="str">
        <f>"GC 112540"</f>
        <v>GC 112540</v>
      </c>
      <c r="F429" t="str">
        <f>"INV GC 112540"</f>
        <v>INV GC 112540</v>
      </c>
      <c r="G429" s="1">
        <v>40.96</v>
      </c>
      <c r="H429" t="str">
        <f>"INV GC 112540"</f>
        <v>INV GC 112540</v>
      </c>
    </row>
    <row r="430" spans="1:8" x14ac:dyDescent="0.25">
      <c r="E430" t="str">
        <f>"GC 112571"</f>
        <v>GC 112571</v>
      </c>
      <c r="F430" t="str">
        <f>"INV GC 112571"</f>
        <v>INV GC 112571</v>
      </c>
      <c r="G430" s="1">
        <v>169.94</v>
      </c>
      <c r="H430" t="str">
        <f>"INV GC 112571"</f>
        <v>INV GC 112571</v>
      </c>
    </row>
    <row r="431" spans="1:8" x14ac:dyDescent="0.25">
      <c r="E431" t="str">
        <f>"GC 112608"</f>
        <v>GC 112608</v>
      </c>
      <c r="F431" t="str">
        <f>"GC 112608"</f>
        <v>GC 112608</v>
      </c>
      <c r="G431" s="1">
        <v>1291.0899999999999</v>
      </c>
      <c r="H431" t="str">
        <f>"GC 112608"</f>
        <v>GC 112608</v>
      </c>
    </row>
    <row r="432" spans="1:8" x14ac:dyDescent="0.25">
      <c r="A432" t="s">
        <v>255</v>
      </c>
      <c r="B432">
        <v>3430</v>
      </c>
      <c r="C432" s="1">
        <v>283.7</v>
      </c>
      <c r="D432" s="3">
        <v>44131</v>
      </c>
      <c r="E432" t="str">
        <f>"112681"</f>
        <v>112681</v>
      </c>
      <c r="F432" t="str">
        <f>"WARNING NOTICE/ANIMAL CONTROL"</f>
        <v>WARNING NOTICE/ANIMAL CONTROL</v>
      </c>
      <c r="G432" s="1">
        <v>242.74</v>
      </c>
      <c r="H432" t="str">
        <f>"WARNING NOTICE/ANIMAL CONTROL"</f>
        <v>WARNING NOTICE/ANIMAL CONTROL</v>
      </c>
    </row>
    <row r="433" spans="1:8" x14ac:dyDescent="0.25">
      <c r="E433" t="str">
        <f>"GC112637"</f>
        <v>GC112637</v>
      </c>
      <c r="F433" t="str">
        <f>"INV GC 112637"</f>
        <v>INV GC 112637</v>
      </c>
      <c r="G433" s="1">
        <v>40.96</v>
      </c>
      <c r="H433" t="str">
        <f>"INV GC 112637"</f>
        <v>INV GC 112637</v>
      </c>
    </row>
    <row r="434" spans="1:8" x14ac:dyDescent="0.25">
      <c r="A434" t="s">
        <v>254</v>
      </c>
      <c r="B434">
        <v>133344</v>
      </c>
      <c r="C434" s="1">
        <v>1275.5</v>
      </c>
      <c r="D434" s="3">
        <v>44117</v>
      </c>
      <c r="E434" t="str">
        <f>"015660196 01566016"</f>
        <v>015660196 01566016</v>
      </c>
      <c r="F434" t="str">
        <f>"INV 015660196/015660164/."</f>
        <v>INV 015660196/015660164/.</v>
      </c>
      <c r="G434" s="1">
        <v>413.5</v>
      </c>
      <c r="H434" t="str">
        <f>"INV 015660196"</f>
        <v>INV 015660196</v>
      </c>
    </row>
    <row r="435" spans="1:8" x14ac:dyDescent="0.25">
      <c r="E435" t="str">
        <f>""</f>
        <v/>
      </c>
      <c r="F435" t="str">
        <f>""</f>
        <v/>
      </c>
      <c r="H435" t="str">
        <f>"INV 015660164"</f>
        <v>INV 015660164</v>
      </c>
    </row>
    <row r="436" spans="1:8" x14ac:dyDescent="0.25">
      <c r="E436" t="str">
        <f>""</f>
        <v/>
      </c>
      <c r="F436" t="str">
        <f>""</f>
        <v/>
      </c>
      <c r="H436" t="str">
        <f>"INV 016061295"</f>
        <v>INV 016061295</v>
      </c>
    </row>
    <row r="437" spans="1:8" x14ac:dyDescent="0.25">
      <c r="E437" t="str">
        <f>"016347013 01634701"</f>
        <v>016347013 01634701</v>
      </c>
      <c r="F437" t="str">
        <f>"INV 016347013/016347014"</f>
        <v>INV 016347013/016347014</v>
      </c>
      <c r="G437" s="1">
        <v>258</v>
      </c>
      <c r="H437" t="str">
        <f>"INV 016347013"</f>
        <v>INV 016347013</v>
      </c>
    </row>
    <row r="438" spans="1:8" x14ac:dyDescent="0.25">
      <c r="E438" t="str">
        <f>""</f>
        <v/>
      </c>
      <c r="F438" t="str">
        <f>""</f>
        <v/>
      </c>
      <c r="H438" t="str">
        <f>"INV 016347014"</f>
        <v>INV 016347014</v>
      </c>
    </row>
    <row r="439" spans="1:8" x14ac:dyDescent="0.25">
      <c r="E439" t="str">
        <f>"016347052"</f>
        <v>016347052</v>
      </c>
      <c r="F439" t="str">
        <f>"INV 016347052"</f>
        <v>INV 016347052</v>
      </c>
      <c r="G439" s="1">
        <v>193</v>
      </c>
      <c r="H439" t="str">
        <f>"INV 016347052"</f>
        <v>INV 016347052</v>
      </c>
    </row>
    <row r="440" spans="1:8" x14ac:dyDescent="0.25">
      <c r="E440" t="str">
        <f>"016425812"</f>
        <v>016425812</v>
      </c>
      <c r="F440" t="str">
        <f>"INV 016425812"</f>
        <v>INV 016425812</v>
      </c>
      <c r="G440" s="1">
        <v>20</v>
      </c>
      <c r="H440" t="str">
        <f>"INV 016425812"</f>
        <v>INV 016425812</v>
      </c>
    </row>
    <row r="441" spans="1:8" x14ac:dyDescent="0.25">
      <c r="E441" t="str">
        <f>"016425878"</f>
        <v>016425878</v>
      </c>
      <c r="F441" t="str">
        <f>"INV 016425878"</f>
        <v>INV 016425878</v>
      </c>
      <c r="G441" s="1">
        <v>12</v>
      </c>
      <c r="H441" t="str">
        <f>"INV 016425878"</f>
        <v>INV 016425878</v>
      </c>
    </row>
    <row r="442" spans="1:8" x14ac:dyDescent="0.25">
      <c r="E442" t="str">
        <f>"016542675"</f>
        <v>016542675</v>
      </c>
      <c r="F442" t="str">
        <f>"INV 016542675"</f>
        <v>INV 016542675</v>
      </c>
      <c r="G442" s="1">
        <v>60</v>
      </c>
      <c r="H442" t="str">
        <f>"INV 016542675"</f>
        <v>INV 016542675</v>
      </c>
    </row>
    <row r="443" spans="1:8" x14ac:dyDescent="0.25">
      <c r="E443" t="str">
        <f>"016542682"</f>
        <v>016542682</v>
      </c>
      <c r="F443" t="str">
        <f>"INV 016542682"</f>
        <v>INV 016542682</v>
      </c>
      <c r="G443" s="1">
        <v>307</v>
      </c>
      <c r="H443" t="str">
        <f>"INV 016542682"</f>
        <v>INV 016542682</v>
      </c>
    </row>
    <row r="444" spans="1:8" x14ac:dyDescent="0.25">
      <c r="E444" t="str">
        <f>"016542730"</f>
        <v>016542730</v>
      </c>
      <c r="F444" t="str">
        <f>"INV 016542730"</f>
        <v>INV 016542730</v>
      </c>
      <c r="G444" s="1">
        <v>12</v>
      </c>
      <c r="H444" t="str">
        <f>"INV 016542730"</f>
        <v>INV 016542730</v>
      </c>
    </row>
    <row r="445" spans="1:8" x14ac:dyDescent="0.25">
      <c r="A445" t="s">
        <v>254</v>
      </c>
      <c r="B445">
        <v>133470</v>
      </c>
      <c r="C445" s="1">
        <v>816</v>
      </c>
      <c r="D445" s="3">
        <v>44130</v>
      </c>
      <c r="E445" t="str">
        <f>"015847502 01589710"</f>
        <v>015847502 01589710</v>
      </c>
      <c r="F445" t="str">
        <f>"INV 015847502/OR16021829/"</f>
        <v>INV 015847502/OR16021829/</v>
      </c>
      <c r="G445" s="1">
        <v>89.5</v>
      </c>
      <c r="H445" t="str">
        <f>"INV 015847502"</f>
        <v>INV 015847502</v>
      </c>
    </row>
    <row r="446" spans="1:8" x14ac:dyDescent="0.25">
      <c r="E446" t="str">
        <f>""</f>
        <v/>
      </c>
      <c r="F446" t="str">
        <f>""</f>
        <v/>
      </c>
      <c r="H446" t="str">
        <f>"INV 015897108"</f>
        <v>INV 015897108</v>
      </c>
    </row>
    <row r="447" spans="1:8" x14ac:dyDescent="0.25">
      <c r="E447" t="str">
        <f>""</f>
        <v/>
      </c>
      <c r="F447" t="str">
        <f>""</f>
        <v/>
      </c>
      <c r="H447" t="str">
        <f>"INV 0158905358"</f>
        <v>INV 0158905358</v>
      </c>
    </row>
    <row r="448" spans="1:8" x14ac:dyDescent="0.25">
      <c r="E448" t="str">
        <f>"016639801"</f>
        <v>016639801</v>
      </c>
      <c r="F448" t="str">
        <f>"INV 016639801"</f>
        <v>INV 016639801</v>
      </c>
      <c r="G448" s="1">
        <v>89.5</v>
      </c>
      <c r="H448" t="str">
        <f>"INV 016639801"</f>
        <v>INV 016639801</v>
      </c>
    </row>
    <row r="449" spans="1:8" x14ac:dyDescent="0.25">
      <c r="E449" t="str">
        <f>"016702006"</f>
        <v>016702006</v>
      </c>
      <c r="F449" t="str">
        <f>"INV 016702006"</f>
        <v>INV 016702006</v>
      </c>
      <c r="G449" s="1">
        <v>401.5</v>
      </c>
      <c r="H449" t="str">
        <f>"PANTS"</f>
        <v>PANTS</v>
      </c>
    </row>
    <row r="450" spans="1:8" x14ac:dyDescent="0.25">
      <c r="E450" t="str">
        <f>""</f>
        <v/>
      </c>
      <c r="F450" t="str">
        <f>""</f>
        <v/>
      </c>
      <c r="H450" t="str">
        <f>"SHIRTS"</f>
        <v>SHIRTS</v>
      </c>
    </row>
    <row r="451" spans="1:8" x14ac:dyDescent="0.25">
      <c r="E451" t="str">
        <f>"202010209710"</f>
        <v>202010209710</v>
      </c>
      <c r="F451" t="str">
        <f>"INV 016659927"</f>
        <v>INV 016659927</v>
      </c>
      <c r="G451" s="1">
        <v>235.5</v>
      </c>
      <c r="H451" t="str">
        <f>"SHIRTS"</f>
        <v>SHIRTS</v>
      </c>
    </row>
    <row r="452" spans="1:8" x14ac:dyDescent="0.25">
      <c r="E452" t="str">
        <f>""</f>
        <v/>
      </c>
      <c r="F452" t="str">
        <f>""</f>
        <v/>
      </c>
      <c r="H452" t="str">
        <f>"PANTS"</f>
        <v>PANTS</v>
      </c>
    </row>
    <row r="453" spans="1:8" x14ac:dyDescent="0.25">
      <c r="A453" t="s">
        <v>253</v>
      </c>
      <c r="B453">
        <v>133345</v>
      </c>
      <c r="C453" s="1">
        <v>1900.78</v>
      </c>
      <c r="D453" s="3">
        <v>44117</v>
      </c>
      <c r="E453" t="str">
        <f>"376413"</f>
        <v>376413</v>
      </c>
      <c r="F453" t="str">
        <f>"INV 376413"</f>
        <v>INV 376413</v>
      </c>
      <c r="G453" s="1">
        <v>950.39</v>
      </c>
      <c r="H453" t="str">
        <f>"INV 376413"</f>
        <v>INV 376413</v>
      </c>
    </row>
    <row r="454" spans="1:8" x14ac:dyDescent="0.25">
      <c r="E454" t="str">
        <f>"376414"</f>
        <v>376414</v>
      </c>
      <c r="F454" t="str">
        <f>"INV 376414"</f>
        <v>INV 376414</v>
      </c>
      <c r="G454" s="1">
        <v>950.39</v>
      </c>
      <c r="H454" t="str">
        <f>"INV 376414"</f>
        <v>INV 376414</v>
      </c>
    </row>
    <row r="455" spans="1:8" x14ac:dyDescent="0.25">
      <c r="A455" t="s">
        <v>252</v>
      </c>
      <c r="B455">
        <v>3375</v>
      </c>
      <c r="C455" s="1">
        <v>1397.95</v>
      </c>
      <c r="D455" s="3">
        <v>44118</v>
      </c>
      <c r="E455" t="str">
        <f>"N66719"</f>
        <v>N66719</v>
      </c>
      <c r="F455" t="str">
        <f>"CUST#02141/ORD#S59348"</f>
        <v>CUST#02141/ORD#S59348</v>
      </c>
      <c r="G455" s="1">
        <v>338.52</v>
      </c>
      <c r="H455" t="str">
        <f>"CUST#02141/ORD#S59348"</f>
        <v>CUST#02141/ORD#S59348</v>
      </c>
    </row>
    <row r="456" spans="1:8" x14ac:dyDescent="0.25">
      <c r="E456" t="str">
        <f>"N66765"</f>
        <v>N66765</v>
      </c>
      <c r="F456" t="str">
        <f>"Shirt Order"</f>
        <v>Shirt Order</v>
      </c>
      <c r="G456" s="1">
        <v>1059.43</v>
      </c>
      <c r="H456" t="str">
        <f>"Invoice #N66765"</f>
        <v>Invoice #N66765</v>
      </c>
    </row>
    <row r="457" spans="1:8" x14ac:dyDescent="0.25">
      <c r="A457" t="s">
        <v>252</v>
      </c>
      <c r="B457">
        <v>3448</v>
      </c>
      <c r="C457" s="1">
        <v>266</v>
      </c>
      <c r="D457" s="3">
        <v>44131</v>
      </c>
      <c r="E457" t="str">
        <f>"N66919"</f>
        <v>N66919</v>
      </c>
      <c r="F457" t="str">
        <f>"CUST#02141/ORD#S59376"</f>
        <v>CUST#02141/ORD#S59376</v>
      </c>
      <c r="G457" s="1">
        <v>266</v>
      </c>
      <c r="H457" t="str">
        <f>"CUST#02141/ORD#S59376"</f>
        <v>CUST#02141/ORD#S59376</v>
      </c>
    </row>
    <row r="458" spans="1:8" x14ac:dyDescent="0.25">
      <c r="A458" t="s">
        <v>251</v>
      </c>
      <c r="B458">
        <v>133471</v>
      </c>
      <c r="C458" s="1">
        <v>425</v>
      </c>
      <c r="D458" s="3">
        <v>44130</v>
      </c>
      <c r="E458" t="str">
        <f>"1115"</f>
        <v>1115</v>
      </c>
      <c r="F458" t="str">
        <f>"TRANSPORT-V. EDMUNDSON"</f>
        <v>TRANSPORT-V. EDMUNDSON</v>
      </c>
      <c r="G458" s="1">
        <v>425</v>
      </c>
      <c r="H458" t="str">
        <f>"TRANSPORT-V. EDMUNDSON"</f>
        <v>TRANSPORT-V. EDMUNDSON</v>
      </c>
    </row>
    <row r="459" spans="1:8" x14ac:dyDescent="0.25">
      <c r="A459" t="s">
        <v>250</v>
      </c>
      <c r="B459">
        <v>3359</v>
      </c>
      <c r="C459" s="1">
        <v>804.77</v>
      </c>
      <c r="D459" s="3">
        <v>44118</v>
      </c>
      <c r="E459" t="str">
        <f>"0791390 0793063"</f>
        <v>0791390 0793063</v>
      </c>
      <c r="F459" t="str">
        <f>"INV 0791390/0793063"</f>
        <v>INV 0791390/0793063</v>
      </c>
      <c r="G459" s="1">
        <v>404.77</v>
      </c>
      <c r="H459" t="str">
        <f>"INV 0791390"</f>
        <v>INV 0791390</v>
      </c>
    </row>
    <row r="460" spans="1:8" x14ac:dyDescent="0.25">
      <c r="E460" t="str">
        <f>""</f>
        <v/>
      </c>
      <c r="F460" t="str">
        <f>""</f>
        <v/>
      </c>
      <c r="H460" t="str">
        <f>"INV 0793063"</f>
        <v>INV 0793063</v>
      </c>
    </row>
    <row r="461" spans="1:8" x14ac:dyDescent="0.25">
      <c r="E461" t="str">
        <f>"2228998"</f>
        <v>2228998</v>
      </c>
      <c r="F461" t="str">
        <f>"INV 2228998"</f>
        <v>INV 2228998</v>
      </c>
      <c r="G461" s="1">
        <v>400</v>
      </c>
      <c r="H461" t="str">
        <f>"INV 2228998"</f>
        <v>INV 2228998</v>
      </c>
    </row>
    <row r="462" spans="1:8" x14ac:dyDescent="0.25">
      <c r="A462" t="s">
        <v>250</v>
      </c>
      <c r="B462">
        <v>3431</v>
      </c>
      <c r="C462" s="1">
        <v>3256.75</v>
      </c>
      <c r="D462" s="3">
        <v>44131</v>
      </c>
      <c r="E462" t="str">
        <f>"0798759"</f>
        <v>0798759</v>
      </c>
      <c r="F462" t="str">
        <f>"INV 0798759"</f>
        <v>INV 0798759</v>
      </c>
      <c r="G462" s="1">
        <v>2406.75</v>
      </c>
      <c r="H462" t="str">
        <f>"INV 0798759"</f>
        <v>INV 0798759</v>
      </c>
    </row>
    <row r="463" spans="1:8" x14ac:dyDescent="0.25">
      <c r="E463" t="str">
        <f>"0799149"</f>
        <v>0799149</v>
      </c>
      <c r="F463" t="str">
        <f>"INV 0799149"</f>
        <v>INV 0799149</v>
      </c>
      <c r="G463" s="1">
        <v>850</v>
      </c>
      <c r="H463" t="str">
        <f>"INV 0799149"</f>
        <v>INV 0799149</v>
      </c>
    </row>
    <row r="464" spans="1:8" x14ac:dyDescent="0.25">
      <c r="E464" t="str">
        <f>""</f>
        <v/>
      </c>
      <c r="F464" t="str">
        <f>""</f>
        <v/>
      </c>
      <c r="H464" t="str">
        <f>"INV 0799149"</f>
        <v>INV 0799149</v>
      </c>
    </row>
    <row r="465" spans="1:8" x14ac:dyDescent="0.25">
      <c r="A465" t="s">
        <v>249</v>
      </c>
      <c r="B465">
        <v>133346</v>
      </c>
      <c r="C465" s="1">
        <v>675</v>
      </c>
      <c r="D465" s="3">
        <v>44117</v>
      </c>
      <c r="E465" t="str">
        <f>"1031528"</f>
        <v>1031528</v>
      </c>
      <c r="F465" t="str">
        <f>"ORD#836931/PCT#4"</f>
        <v>ORD#836931/PCT#4</v>
      </c>
      <c r="G465" s="1">
        <v>545</v>
      </c>
      <c r="H465" t="str">
        <f>"ORD#836931/PCT#4"</f>
        <v>ORD#836931/PCT#4</v>
      </c>
    </row>
    <row r="466" spans="1:8" x14ac:dyDescent="0.25">
      <c r="E466" t="str">
        <f>"1032889"</f>
        <v>1032889</v>
      </c>
      <c r="F466" t="str">
        <f>"ORD#923967/PCT#4"</f>
        <v>ORD#923967/PCT#4</v>
      </c>
      <c r="G466" s="1">
        <v>130</v>
      </c>
      <c r="H466" t="str">
        <f>"ORD#923967/PCT#4"</f>
        <v>ORD#923967/PCT#4</v>
      </c>
    </row>
    <row r="467" spans="1:8" x14ac:dyDescent="0.25">
      <c r="A467" t="s">
        <v>248</v>
      </c>
      <c r="B467">
        <v>3445</v>
      </c>
      <c r="C467" s="1">
        <v>615</v>
      </c>
      <c r="D467" s="3">
        <v>44131</v>
      </c>
      <c r="E467" t="str">
        <f>"10043053"</f>
        <v>10043053</v>
      </c>
      <c r="F467" t="str">
        <f>"PROJ#033387.008/PCT#4"</f>
        <v>PROJ#033387.008/PCT#4</v>
      </c>
      <c r="G467" s="1">
        <v>615</v>
      </c>
      <c r="H467" t="str">
        <f>"PROJ#033387.008/PCT#4"</f>
        <v>PROJ#033387.008/PCT#4</v>
      </c>
    </row>
    <row r="468" spans="1:8" x14ac:dyDescent="0.25">
      <c r="A468" t="s">
        <v>247</v>
      </c>
      <c r="B468">
        <v>133347</v>
      </c>
      <c r="C468" s="1">
        <v>669.23</v>
      </c>
      <c r="D468" s="3">
        <v>44117</v>
      </c>
      <c r="E468" t="str">
        <f>"202010059360"</f>
        <v>202010059360</v>
      </c>
      <c r="F468" t="str">
        <f>"ACCT#BAS001/PCT#3"</f>
        <v>ACCT#BAS001/PCT#3</v>
      </c>
      <c r="G468" s="1">
        <v>669.23</v>
      </c>
      <c r="H468" t="str">
        <f>"ACCT#BAS001/PCT#3"</f>
        <v>ACCT#BAS001/PCT#3</v>
      </c>
    </row>
    <row r="469" spans="1:8" x14ac:dyDescent="0.25">
      <c r="A469" t="s">
        <v>246</v>
      </c>
      <c r="B469">
        <v>133472</v>
      </c>
      <c r="C469" s="1">
        <v>378</v>
      </c>
      <c r="D469" s="3">
        <v>44130</v>
      </c>
      <c r="E469" t="str">
        <f>"19716"</f>
        <v>19716</v>
      </c>
      <c r="F469" t="str">
        <f>"INV 19716"</f>
        <v>INV 19716</v>
      </c>
      <c r="G469" s="1">
        <v>378</v>
      </c>
      <c r="H469" t="str">
        <f>"INV 19716"</f>
        <v>INV 19716</v>
      </c>
    </row>
    <row r="470" spans="1:8" x14ac:dyDescent="0.25">
      <c r="A470" t="s">
        <v>245</v>
      </c>
      <c r="B470">
        <v>133473</v>
      </c>
      <c r="C470" s="1">
        <v>591.58000000000004</v>
      </c>
      <c r="D470" s="3">
        <v>44130</v>
      </c>
      <c r="E470" t="str">
        <f>"29160"</f>
        <v>29160</v>
      </c>
      <c r="F470" t="str">
        <f>"ACCT#937/PCT#3"</f>
        <v>ACCT#937/PCT#3</v>
      </c>
      <c r="G470" s="1">
        <v>591.58000000000004</v>
      </c>
      <c r="H470" t="str">
        <f>"ACCT#937/PCT#3"</f>
        <v>ACCT#937/PCT#3</v>
      </c>
    </row>
    <row r="471" spans="1:8" x14ac:dyDescent="0.25">
      <c r="A471" t="s">
        <v>244</v>
      </c>
      <c r="B471">
        <v>3433</v>
      </c>
      <c r="C471" s="1">
        <v>650</v>
      </c>
      <c r="D471" s="3">
        <v>44131</v>
      </c>
      <c r="E471" t="str">
        <f>"202010209708"</f>
        <v>202010209708</v>
      </c>
      <c r="F471" t="str">
        <f>"BASCOM L HODGES JR"</f>
        <v>BASCOM L HODGES JR</v>
      </c>
      <c r="G471" s="1">
        <v>650</v>
      </c>
      <c r="H471" t="str">
        <f>""</f>
        <v/>
      </c>
    </row>
    <row r="472" spans="1:8" x14ac:dyDescent="0.25">
      <c r="A472" t="s">
        <v>243</v>
      </c>
      <c r="B472">
        <v>133348</v>
      </c>
      <c r="C472" s="1">
        <v>1337.5</v>
      </c>
      <c r="D472" s="3">
        <v>44117</v>
      </c>
      <c r="E472" t="str">
        <f>"202010059322"</f>
        <v>202010059322</v>
      </c>
      <c r="F472" t="str">
        <f>"20-20054"</f>
        <v>20-20054</v>
      </c>
      <c r="G472" s="1">
        <v>37.5</v>
      </c>
      <c r="H472" t="str">
        <f>"20-20054"</f>
        <v>20-20054</v>
      </c>
    </row>
    <row r="473" spans="1:8" x14ac:dyDescent="0.25">
      <c r="E473" t="str">
        <f>"202010059323"</f>
        <v>202010059323</v>
      </c>
      <c r="F473" t="str">
        <f>"19-19954"</f>
        <v>19-19954</v>
      </c>
      <c r="G473" s="1">
        <v>150</v>
      </c>
      <c r="H473" t="str">
        <f>"19-19954"</f>
        <v>19-19954</v>
      </c>
    </row>
    <row r="474" spans="1:8" x14ac:dyDescent="0.25">
      <c r="E474" t="str">
        <f>"202010059324"</f>
        <v>202010059324</v>
      </c>
      <c r="F474" t="str">
        <f>"56 950"</f>
        <v>56 950</v>
      </c>
      <c r="G474" s="1">
        <v>250</v>
      </c>
      <c r="H474" t="str">
        <f>"56 950"</f>
        <v>56 950</v>
      </c>
    </row>
    <row r="475" spans="1:8" x14ac:dyDescent="0.25">
      <c r="E475" t="str">
        <f>"202010059366"</f>
        <v>202010059366</v>
      </c>
      <c r="F475" t="str">
        <f>"19-19703"</f>
        <v>19-19703</v>
      </c>
      <c r="G475" s="1">
        <v>525</v>
      </c>
      <c r="H475" t="str">
        <f>"19-19703"</f>
        <v>19-19703</v>
      </c>
    </row>
    <row r="476" spans="1:8" x14ac:dyDescent="0.25">
      <c r="E476" t="str">
        <f>"202010059367"</f>
        <v>202010059367</v>
      </c>
      <c r="F476" t="str">
        <f>"19-19703"</f>
        <v>19-19703</v>
      </c>
      <c r="G476" s="1">
        <v>225</v>
      </c>
      <c r="H476" t="str">
        <f>"19-19703"</f>
        <v>19-19703</v>
      </c>
    </row>
    <row r="477" spans="1:8" x14ac:dyDescent="0.25">
      <c r="E477" t="str">
        <f>"202010059368"</f>
        <v>202010059368</v>
      </c>
      <c r="F477" t="str">
        <f>"20-20415"</f>
        <v>20-20415</v>
      </c>
      <c r="G477" s="1">
        <v>150</v>
      </c>
      <c r="H477" t="str">
        <f>"20-20415"</f>
        <v>20-20415</v>
      </c>
    </row>
    <row r="478" spans="1:8" x14ac:dyDescent="0.25">
      <c r="A478" t="s">
        <v>243</v>
      </c>
      <c r="B478">
        <v>133474</v>
      </c>
      <c r="C478" s="1">
        <v>175</v>
      </c>
      <c r="D478" s="3">
        <v>44130</v>
      </c>
      <c r="E478" t="str">
        <f>"202010209691"</f>
        <v>202010209691</v>
      </c>
      <c r="F478" t="str">
        <f>"20-20415"</f>
        <v>20-20415</v>
      </c>
      <c r="G478" s="1">
        <v>175</v>
      </c>
      <c r="H478" t="str">
        <f>"20-20415"</f>
        <v>20-20415</v>
      </c>
    </row>
    <row r="479" spans="1:8" x14ac:dyDescent="0.25">
      <c r="A479" t="s">
        <v>242</v>
      </c>
      <c r="B479">
        <v>3360</v>
      </c>
      <c r="C479" s="1">
        <v>1139.4000000000001</v>
      </c>
      <c r="D479" s="3">
        <v>44118</v>
      </c>
      <c r="E479" t="str">
        <f>"PIMA0339918"</f>
        <v>PIMA0339918</v>
      </c>
      <c r="F479" t="str">
        <f>"CUST#0129150/PCT#3"</f>
        <v>CUST#0129150/PCT#3</v>
      </c>
      <c r="G479" s="1">
        <v>573.4</v>
      </c>
      <c r="H479" t="str">
        <f>"CUST#0129150/PCT#3"</f>
        <v>CUST#0129150/PCT#3</v>
      </c>
    </row>
    <row r="480" spans="1:8" x14ac:dyDescent="0.25">
      <c r="E480" t="str">
        <f>"WIM60016654"</f>
        <v>WIM60016654</v>
      </c>
      <c r="F480" t="str">
        <f>"CUST#0129200/PCT#4"</f>
        <v>CUST#0129200/PCT#4</v>
      </c>
      <c r="G480" s="1">
        <v>566</v>
      </c>
      <c r="H480" t="str">
        <f>"CUST#0129200/PCT#4"</f>
        <v>CUST#0129200/PCT#4</v>
      </c>
    </row>
    <row r="481" spans="1:8" x14ac:dyDescent="0.25">
      <c r="A481" t="s">
        <v>242</v>
      </c>
      <c r="B481">
        <v>3432</v>
      </c>
      <c r="C481" s="1">
        <v>79.260000000000005</v>
      </c>
      <c r="D481" s="3">
        <v>44131</v>
      </c>
      <c r="E481" t="str">
        <f>"PIMA0341629"</f>
        <v>PIMA0341629</v>
      </c>
      <c r="F481" t="str">
        <f>"CUST#0129150/PCT#3"</f>
        <v>CUST#0129150/PCT#3</v>
      </c>
      <c r="G481" s="1">
        <v>79.260000000000005</v>
      </c>
      <c r="H481" t="str">
        <f>"CUST#0129150/PCT#3"</f>
        <v>CUST#0129150/PCT#3</v>
      </c>
    </row>
    <row r="482" spans="1:8" x14ac:dyDescent="0.25">
      <c r="A482" t="s">
        <v>21</v>
      </c>
      <c r="B482">
        <v>133349</v>
      </c>
      <c r="C482" s="1">
        <v>2149.81</v>
      </c>
      <c r="D482" s="3">
        <v>44117</v>
      </c>
      <c r="E482" t="str">
        <f>"202010069389"</f>
        <v>202010069389</v>
      </c>
      <c r="F482" t="str">
        <f>"Statement"</f>
        <v>Statement</v>
      </c>
      <c r="G482" s="1">
        <v>2149.81</v>
      </c>
      <c r="H482" t="str">
        <f>"543515"</f>
        <v>543515</v>
      </c>
    </row>
    <row r="483" spans="1:8" x14ac:dyDescent="0.25">
      <c r="E483" t="str">
        <f>""</f>
        <v/>
      </c>
      <c r="F483" t="str">
        <f>""</f>
        <v/>
      </c>
      <c r="H483" t="str">
        <f>"7090894"</f>
        <v>7090894</v>
      </c>
    </row>
    <row r="484" spans="1:8" x14ac:dyDescent="0.25">
      <c r="E484" t="str">
        <f>""</f>
        <v/>
      </c>
      <c r="F484" t="str">
        <f>""</f>
        <v/>
      </c>
      <c r="H484" t="str">
        <f>"7532876"</f>
        <v>7532876</v>
      </c>
    </row>
    <row r="485" spans="1:8" x14ac:dyDescent="0.25">
      <c r="E485" t="str">
        <f>""</f>
        <v/>
      </c>
      <c r="F485" t="str">
        <f>""</f>
        <v/>
      </c>
      <c r="H485" t="str">
        <f>"3412894"</f>
        <v>3412894</v>
      </c>
    </row>
    <row r="486" spans="1:8" x14ac:dyDescent="0.25">
      <c r="E486" t="str">
        <f>""</f>
        <v/>
      </c>
      <c r="F486" t="str">
        <f>""</f>
        <v/>
      </c>
      <c r="H486" t="str">
        <f>"8030893"</f>
        <v>8030893</v>
      </c>
    </row>
    <row r="487" spans="1:8" x14ac:dyDescent="0.25">
      <c r="E487" t="str">
        <f>""</f>
        <v/>
      </c>
      <c r="F487" t="str">
        <f>""</f>
        <v/>
      </c>
      <c r="H487" t="str">
        <f>"8532831"</f>
        <v>8532831</v>
      </c>
    </row>
    <row r="488" spans="1:8" x14ac:dyDescent="0.25">
      <c r="E488" t="str">
        <f>""</f>
        <v/>
      </c>
      <c r="F488" t="str">
        <f>""</f>
        <v/>
      </c>
      <c r="H488" t="str">
        <f>"7532857"</f>
        <v>7532857</v>
      </c>
    </row>
    <row r="489" spans="1:8" x14ac:dyDescent="0.25">
      <c r="E489" t="str">
        <f>""</f>
        <v/>
      </c>
      <c r="F489" t="str">
        <f>""</f>
        <v/>
      </c>
      <c r="H489" t="str">
        <f>"3532028"</f>
        <v>3532028</v>
      </c>
    </row>
    <row r="490" spans="1:8" x14ac:dyDescent="0.25">
      <c r="E490" t="str">
        <f>""</f>
        <v/>
      </c>
      <c r="F490" t="str">
        <f>""</f>
        <v/>
      </c>
      <c r="H490" t="str">
        <f>"2091608"</f>
        <v>2091608</v>
      </c>
    </row>
    <row r="491" spans="1:8" x14ac:dyDescent="0.25">
      <c r="E491" t="str">
        <f>""</f>
        <v/>
      </c>
      <c r="F491" t="str">
        <f>""</f>
        <v/>
      </c>
      <c r="H491" t="str">
        <f>"2762067"</f>
        <v>2762067</v>
      </c>
    </row>
    <row r="492" spans="1:8" x14ac:dyDescent="0.25">
      <c r="E492" t="str">
        <f>""</f>
        <v/>
      </c>
      <c r="F492" t="str">
        <f>""</f>
        <v/>
      </c>
      <c r="H492" t="str">
        <f>"1787157"</f>
        <v>1787157</v>
      </c>
    </row>
    <row r="493" spans="1:8" x14ac:dyDescent="0.25">
      <c r="E493" t="str">
        <f>""</f>
        <v/>
      </c>
      <c r="F493" t="str">
        <f>""</f>
        <v/>
      </c>
      <c r="H493" t="str">
        <f>"8532840"</f>
        <v>8532840</v>
      </c>
    </row>
    <row r="494" spans="1:8" x14ac:dyDescent="0.25">
      <c r="E494" t="str">
        <f>""</f>
        <v/>
      </c>
      <c r="F494" t="str">
        <f>""</f>
        <v/>
      </c>
      <c r="H494" t="str">
        <f>"2022785"</f>
        <v>2022785</v>
      </c>
    </row>
    <row r="495" spans="1:8" x14ac:dyDescent="0.25">
      <c r="E495" t="str">
        <f>""</f>
        <v/>
      </c>
      <c r="F495" t="str">
        <f>""</f>
        <v/>
      </c>
      <c r="H495" t="str">
        <f>"1510897"</f>
        <v>1510897</v>
      </c>
    </row>
    <row r="496" spans="1:8" x14ac:dyDescent="0.25">
      <c r="A496" t="s">
        <v>241</v>
      </c>
      <c r="B496">
        <v>3419</v>
      </c>
      <c r="C496" s="1">
        <v>305</v>
      </c>
      <c r="D496" s="3">
        <v>44131</v>
      </c>
      <c r="E496" t="str">
        <f>"0551772791"</f>
        <v>0551772791</v>
      </c>
      <c r="F496" t="str">
        <f>"CUST#212645/ORD#212645-0001"</f>
        <v>CUST#212645/ORD#212645-0001</v>
      </c>
      <c r="G496" s="1">
        <v>90</v>
      </c>
      <c r="H496" t="str">
        <f>"CUST#212645/ORD#212645-0001"</f>
        <v>CUST#212645/ORD#212645-0001</v>
      </c>
    </row>
    <row r="497" spans="1:8" x14ac:dyDescent="0.25">
      <c r="E497" t="str">
        <f>"0551774666"</f>
        <v>0551774666</v>
      </c>
      <c r="F497" t="str">
        <f>"CUST#212645/375 RIVERSIDE LAUN"</f>
        <v>CUST#212645/375 RIVERSIDE LAUN</v>
      </c>
      <c r="G497" s="1">
        <v>215</v>
      </c>
      <c r="H497" t="str">
        <f>"CUST#212645/375 RIVERSIDE LAUN"</f>
        <v>CUST#212645/375 RIVERSIDE LAUN</v>
      </c>
    </row>
    <row r="498" spans="1:8" x14ac:dyDescent="0.25">
      <c r="A498" t="s">
        <v>240</v>
      </c>
      <c r="B498">
        <v>133350</v>
      </c>
      <c r="C498" s="1">
        <v>2500</v>
      </c>
      <c r="D498" s="3">
        <v>44117</v>
      </c>
      <c r="E498" t="str">
        <f>"202010059347"</f>
        <v>202010059347</v>
      </c>
      <c r="F498" t="str">
        <f>"FY20-21"</f>
        <v>FY20-21</v>
      </c>
      <c r="G498" s="1">
        <v>2500</v>
      </c>
      <c r="H498" t="str">
        <f>"FY20-21"</f>
        <v>FY20-21</v>
      </c>
    </row>
    <row r="499" spans="1:8" x14ac:dyDescent="0.25">
      <c r="A499" t="s">
        <v>239</v>
      </c>
      <c r="B499">
        <v>133351</v>
      </c>
      <c r="C499" s="1">
        <v>6896.5</v>
      </c>
      <c r="D499" s="3">
        <v>44117</v>
      </c>
      <c r="E499" t="str">
        <f>"2743"</f>
        <v>2743</v>
      </c>
      <c r="F499" t="str">
        <f>"MICROCHIPS/VACCINES/ANIMAL SVC"</f>
        <v>MICROCHIPS/VACCINES/ANIMAL SVC</v>
      </c>
      <c r="G499" s="1">
        <v>6896.5</v>
      </c>
      <c r="H499" t="str">
        <f>"MICROCHIPS/VACCINES/ANIMAL SVC"</f>
        <v>MICROCHIPS/VACCINES/ANIMAL SVC</v>
      </c>
    </row>
    <row r="500" spans="1:8" x14ac:dyDescent="0.25">
      <c r="A500" t="s">
        <v>238</v>
      </c>
      <c r="B500">
        <v>133352</v>
      </c>
      <c r="C500" s="1">
        <v>537.5</v>
      </c>
      <c r="D500" s="3">
        <v>44117</v>
      </c>
      <c r="E500" t="str">
        <f>"SL2020-09_00333"</f>
        <v>SL2020-09_00333</v>
      </c>
      <c r="F500" t="str">
        <f>"SHELTERLUV SOFTWARE"</f>
        <v>SHELTERLUV SOFTWARE</v>
      </c>
      <c r="G500" s="1">
        <v>537.5</v>
      </c>
      <c r="H500" t="str">
        <f>"SHELTERLUV SOFTWARE"</f>
        <v>SHELTERLUV SOFTWARE</v>
      </c>
    </row>
    <row r="501" spans="1:8" x14ac:dyDescent="0.25">
      <c r="A501" t="s">
        <v>237</v>
      </c>
      <c r="B501">
        <v>3401</v>
      </c>
      <c r="C501" s="1">
        <v>391.36</v>
      </c>
      <c r="D501" s="3">
        <v>44131</v>
      </c>
      <c r="E501" t="str">
        <f>"205001"</f>
        <v>205001</v>
      </c>
      <c r="F501" t="str">
        <f>"WIRE BRAID HOSE/PCT#3"</f>
        <v>WIRE BRAID HOSE/PCT#3</v>
      </c>
      <c r="G501" s="1">
        <v>317.42</v>
      </c>
      <c r="H501" t="str">
        <f>"WIRE BRAID HOSE/PCT#3"</f>
        <v>WIRE BRAID HOSE/PCT#3</v>
      </c>
    </row>
    <row r="502" spans="1:8" x14ac:dyDescent="0.25">
      <c r="E502" t="str">
        <f>"205018"</f>
        <v>205018</v>
      </c>
      <c r="F502" t="str">
        <f>"HIGH PRESSURE-HOSE/PCT#3"</f>
        <v>HIGH PRESSURE-HOSE/PCT#3</v>
      </c>
      <c r="G502" s="1">
        <v>73.94</v>
      </c>
      <c r="H502" t="str">
        <f>"HIGH PRESSURE-HOSE/PCT#3"</f>
        <v>HIGH PRESSURE-HOSE/PCT#3</v>
      </c>
    </row>
    <row r="503" spans="1:8" x14ac:dyDescent="0.25">
      <c r="A503" t="s">
        <v>236</v>
      </c>
      <c r="B503">
        <v>133475</v>
      </c>
      <c r="C503" s="1">
        <v>1</v>
      </c>
      <c r="D503" s="3">
        <v>44130</v>
      </c>
      <c r="E503" t="s">
        <v>235</v>
      </c>
      <c r="F503" s="4" t="str">
        <f>"OVERPAYMENT"</f>
        <v>OVERPAYMENT</v>
      </c>
      <c r="G503" s="1">
        <v>1</v>
      </c>
      <c r="H503" t="str">
        <f>"OVERPAYMENT"</f>
        <v>OVERPAYMENT</v>
      </c>
    </row>
    <row r="504" spans="1:8" x14ac:dyDescent="0.25">
      <c r="A504" t="s">
        <v>234</v>
      </c>
      <c r="B504">
        <v>3441</v>
      </c>
      <c r="C504" s="1">
        <v>2430</v>
      </c>
      <c r="D504" s="3">
        <v>44131</v>
      </c>
      <c r="E504" t="str">
        <f>"70538"</f>
        <v>70538</v>
      </c>
      <c r="F504" t="str">
        <f>"PROF SVCS NOVEMBER 2020"</f>
        <v>PROF SVCS NOVEMBER 2020</v>
      </c>
      <c r="G504" s="1">
        <v>2430</v>
      </c>
      <c r="H504" t="str">
        <f>"PROF SVCS NOVEMBER 2020"</f>
        <v>PROF SVCS NOVEMBER 2020</v>
      </c>
    </row>
    <row r="505" spans="1:8" x14ac:dyDescent="0.25">
      <c r="E505" t="str">
        <f>""</f>
        <v/>
      </c>
      <c r="F505" t="str">
        <f>""</f>
        <v/>
      </c>
      <c r="H505" t="str">
        <f>"PROF SVCS NOVEMBER 2020"</f>
        <v>PROF SVCS NOVEMBER 2020</v>
      </c>
    </row>
    <row r="506" spans="1:8" x14ac:dyDescent="0.25">
      <c r="A506" t="s">
        <v>233</v>
      </c>
      <c r="B506">
        <v>133353</v>
      </c>
      <c r="C506" s="1">
        <v>83</v>
      </c>
      <c r="D506" s="3">
        <v>44117</v>
      </c>
      <c r="E506" t="str">
        <f>"CYWL148"</f>
        <v>CYWL148</v>
      </c>
      <c r="F506" t="str">
        <f>"AX773/BASTROP COUNTY CLERK"</f>
        <v>AX773/BASTROP COUNTY CLERK</v>
      </c>
      <c r="G506" s="1">
        <v>83</v>
      </c>
      <c r="H506" t="str">
        <f>"AX773/BASTROP COUNTY CLERK"</f>
        <v>AX773/BASTROP COUNTY CLERK</v>
      </c>
    </row>
    <row r="507" spans="1:8" x14ac:dyDescent="0.25">
      <c r="A507" t="s">
        <v>232</v>
      </c>
      <c r="B507">
        <v>133354</v>
      </c>
      <c r="C507" s="1">
        <v>500</v>
      </c>
      <c r="D507" s="3">
        <v>44117</v>
      </c>
      <c r="E507" t="str">
        <f>"202010059375"</f>
        <v>202010059375</v>
      </c>
      <c r="F507" t="str">
        <f>"56 302"</f>
        <v>56 302</v>
      </c>
      <c r="G507" s="1">
        <v>250</v>
      </c>
      <c r="H507" t="str">
        <f>"56 302"</f>
        <v>56 302</v>
      </c>
    </row>
    <row r="508" spans="1:8" x14ac:dyDescent="0.25">
      <c r="E508" t="str">
        <f>"202010059376"</f>
        <v>202010059376</v>
      </c>
      <c r="F508" t="str">
        <f>"020813.2"</f>
        <v>020813.2</v>
      </c>
      <c r="G508" s="1">
        <v>250</v>
      </c>
      <c r="H508" t="str">
        <f>"020813.2"</f>
        <v>020813.2</v>
      </c>
    </row>
    <row r="509" spans="1:8" x14ac:dyDescent="0.25">
      <c r="A509" t="s">
        <v>231</v>
      </c>
      <c r="B509">
        <v>133476</v>
      </c>
      <c r="C509" s="1">
        <v>360</v>
      </c>
      <c r="D509" s="3">
        <v>44130</v>
      </c>
      <c r="E509" t="str">
        <f>"202010209716"</f>
        <v>202010209716</v>
      </c>
      <c r="F509" t="str">
        <f>"PER DIEM"</f>
        <v>PER DIEM</v>
      </c>
      <c r="G509" s="1">
        <v>225</v>
      </c>
      <c r="H509" t="str">
        <f>"PER DIEM"</f>
        <v>PER DIEM</v>
      </c>
    </row>
    <row r="510" spans="1:8" x14ac:dyDescent="0.25">
      <c r="E510" t="str">
        <f>"202010209718"</f>
        <v>202010209718</v>
      </c>
      <c r="F510" t="str">
        <f>"PER DIEM"</f>
        <v>PER DIEM</v>
      </c>
      <c r="G510" s="1">
        <v>135</v>
      </c>
      <c r="H510" t="str">
        <f>"PER DIEM"</f>
        <v>PER DIEM</v>
      </c>
    </row>
    <row r="511" spans="1:8" x14ac:dyDescent="0.25">
      <c r="A511" t="s">
        <v>230</v>
      </c>
      <c r="B511">
        <v>133477</v>
      </c>
      <c r="C511" s="1">
        <v>15</v>
      </c>
      <c r="D511" s="3">
        <v>44130</v>
      </c>
      <c r="E511" t="str">
        <f>"202010209709"</f>
        <v>202010209709</v>
      </c>
      <c r="F511" t="str">
        <f>"JENNIFER BURGAN-BATES"</f>
        <v>JENNIFER BURGAN-BATES</v>
      </c>
      <c r="G511" s="1">
        <v>15</v>
      </c>
      <c r="H511" t="str">
        <f>""</f>
        <v/>
      </c>
    </row>
    <row r="512" spans="1:8" x14ac:dyDescent="0.25">
      <c r="A512" t="s">
        <v>229</v>
      </c>
      <c r="B512">
        <v>133478</v>
      </c>
      <c r="C512" s="1">
        <v>174</v>
      </c>
      <c r="D512" s="3">
        <v>44130</v>
      </c>
      <c r="E512" t="str">
        <f>"1291"</f>
        <v>1291</v>
      </c>
      <c r="F512" t="str">
        <f>"INV 1291"</f>
        <v>INV 1291</v>
      </c>
      <c r="G512" s="1">
        <v>174</v>
      </c>
      <c r="H512" t="str">
        <f>"INV 1291"</f>
        <v>INV 1291</v>
      </c>
    </row>
    <row r="513" spans="1:8" x14ac:dyDescent="0.25">
      <c r="A513" t="s">
        <v>228</v>
      </c>
      <c r="B513">
        <v>3394</v>
      </c>
      <c r="C513" s="1">
        <v>700</v>
      </c>
      <c r="D513" s="3">
        <v>44131</v>
      </c>
      <c r="E513" t="str">
        <f>"2006"</f>
        <v>2006</v>
      </c>
      <c r="F513" t="str">
        <f>"MOWING MAINTENANCE"</f>
        <v>MOWING MAINTENANCE</v>
      </c>
      <c r="G513" s="1">
        <v>700</v>
      </c>
      <c r="H513" t="str">
        <f>"MOWING MAINTENANCE"</f>
        <v>MOWING MAINTENANCE</v>
      </c>
    </row>
    <row r="514" spans="1:8" x14ac:dyDescent="0.25">
      <c r="A514" t="s">
        <v>227</v>
      </c>
      <c r="B514">
        <v>133479</v>
      </c>
      <c r="C514" s="1">
        <v>135</v>
      </c>
      <c r="D514" s="3">
        <v>44130</v>
      </c>
      <c r="E514" t="str">
        <f>"202010209717"</f>
        <v>202010209717</v>
      </c>
      <c r="F514" t="str">
        <f>"PER DIEM"</f>
        <v>PER DIEM</v>
      </c>
      <c r="G514" s="1">
        <v>135</v>
      </c>
      <c r="H514" t="str">
        <f>"PER DIEM"</f>
        <v>PER DIEM</v>
      </c>
    </row>
    <row r="515" spans="1:8" x14ac:dyDescent="0.25">
      <c r="A515" t="s">
        <v>226</v>
      </c>
      <c r="B515">
        <v>3373</v>
      </c>
      <c r="C515" s="1">
        <v>1050</v>
      </c>
      <c r="D515" s="3">
        <v>44118</v>
      </c>
      <c r="E515" t="str">
        <f>"202010019122"</f>
        <v>202010019122</v>
      </c>
      <c r="F515" t="str">
        <f>"17000"</f>
        <v>17000</v>
      </c>
      <c r="G515" s="1">
        <v>650</v>
      </c>
      <c r="H515" t="str">
        <f>"17000"</f>
        <v>17000</v>
      </c>
    </row>
    <row r="516" spans="1:8" x14ac:dyDescent="0.25">
      <c r="E516" t="str">
        <f>"202010019123"</f>
        <v>202010019123</v>
      </c>
      <c r="F516" t="str">
        <f>"16153"</f>
        <v>16153</v>
      </c>
      <c r="G516" s="1">
        <v>400</v>
      </c>
      <c r="H516" t="str">
        <f>"16153"</f>
        <v>16153</v>
      </c>
    </row>
    <row r="517" spans="1:8" x14ac:dyDescent="0.25">
      <c r="A517" t="s">
        <v>226</v>
      </c>
      <c r="B517">
        <v>3446</v>
      </c>
      <c r="C517" s="1">
        <v>450</v>
      </c>
      <c r="D517" s="3">
        <v>44131</v>
      </c>
      <c r="E517" t="str">
        <f>"202010149561"</f>
        <v>202010149561</v>
      </c>
      <c r="F517" t="str">
        <f>"423-7408  1599-335"</f>
        <v>423-7408  1599-335</v>
      </c>
      <c r="G517" s="1">
        <v>200</v>
      </c>
      <c r="H517" t="str">
        <f>"423-7408  1599-335"</f>
        <v>423-7408  1599-335</v>
      </c>
    </row>
    <row r="518" spans="1:8" x14ac:dyDescent="0.25">
      <c r="E518" t="str">
        <f>"202010209683"</f>
        <v>202010209683</v>
      </c>
      <c r="F518" t="str">
        <f>"56529"</f>
        <v>56529</v>
      </c>
      <c r="G518" s="1">
        <v>250</v>
      </c>
      <c r="H518" t="str">
        <f>"56529"</f>
        <v>56529</v>
      </c>
    </row>
    <row r="519" spans="1:8" x14ac:dyDescent="0.25">
      <c r="A519" t="s">
        <v>225</v>
      </c>
      <c r="B519">
        <v>133355</v>
      </c>
      <c r="C519" s="1">
        <v>1259.55</v>
      </c>
      <c r="D519" s="3">
        <v>44117</v>
      </c>
      <c r="E519" t="str">
        <f>"202009309102"</f>
        <v>202009309102</v>
      </c>
      <c r="F519" t="str">
        <f>"423-7275"</f>
        <v>423-7275</v>
      </c>
      <c r="G519" s="1">
        <v>472.5</v>
      </c>
      <c r="H519" t="str">
        <f>"423-7275"</f>
        <v>423-7275</v>
      </c>
    </row>
    <row r="520" spans="1:8" x14ac:dyDescent="0.25">
      <c r="E520" t="str">
        <f>"202009309103"</f>
        <v>202009309103</v>
      </c>
      <c r="F520" t="str">
        <f>"423-2327"</f>
        <v>423-2327</v>
      </c>
      <c r="G520" s="1">
        <v>206.25</v>
      </c>
      <c r="H520" t="str">
        <f>"423-2327"</f>
        <v>423-2327</v>
      </c>
    </row>
    <row r="521" spans="1:8" x14ac:dyDescent="0.25">
      <c r="E521" t="str">
        <f>"202010059329"</f>
        <v>202010059329</v>
      </c>
      <c r="F521" t="str">
        <f>"19-19967"</f>
        <v>19-19967</v>
      </c>
      <c r="G521" s="1">
        <v>132.35</v>
      </c>
      <c r="H521" t="str">
        <f>"19-19967"</f>
        <v>19-19967</v>
      </c>
    </row>
    <row r="522" spans="1:8" x14ac:dyDescent="0.25">
      <c r="E522" t="str">
        <f>"202010059330"</f>
        <v>202010059330</v>
      </c>
      <c r="F522" t="str">
        <f>"20-20060"</f>
        <v>20-20060</v>
      </c>
      <c r="G522" s="1">
        <v>223.2</v>
      </c>
      <c r="H522" t="str">
        <f>"20-20060"</f>
        <v>20-20060</v>
      </c>
    </row>
    <row r="523" spans="1:8" x14ac:dyDescent="0.25">
      <c r="E523" t="str">
        <f>"202010059331"</f>
        <v>202010059331</v>
      </c>
      <c r="F523" t="str">
        <f>"20-20227"</f>
        <v>20-20227</v>
      </c>
      <c r="G523" s="1">
        <v>45</v>
      </c>
      <c r="H523" t="str">
        <f>"20-20227"</f>
        <v>20-20227</v>
      </c>
    </row>
    <row r="524" spans="1:8" x14ac:dyDescent="0.25">
      <c r="E524" t="str">
        <f>"202010059332"</f>
        <v>202010059332</v>
      </c>
      <c r="F524" t="str">
        <f>"19-19465"</f>
        <v>19-19465</v>
      </c>
      <c r="G524" s="1">
        <v>107.5</v>
      </c>
      <c r="H524" t="str">
        <f>"19-19465"</f>
        <v>19-19465</v>
      </c>
    </row>
    <row r="525" spans="1:8" x14ac:dyDescent="0.25">
      <c r="E525" t="str">
        <f>"202010059333"</f>
        <v>202010059333</v>
      </c>
      <c r="F525" t="str">
        <f>"19-20022"</f>
        <v>19-20022</v>
      </c>
      <c r="G525" s="1">
        <v>72.75</v>
      </c>
      <c r="H525" t="str">
        <f>"19-20022"</f>
        <v>19-20022</v>
      </c>
    </row>
    <row r="526" spans="1:8" x14ac:dyDescent="0.25">
      <c r="A526" t="s">
        <v>224</v>
      </c>
      <c r="B526">
        <v>133356</v>
      </c>
      <c r="C526" s="1">
        <v>315</v>
      </c>
      <c r="D526" s="3">
        <v>44117</v>
      </c>
      <c r="E526" t="str">
        <f>"868422"</f>
        <v>868422</v>
      </c>
      <c r="F526" t="str">
        <f>"TRASH P/U / PCT#1"</f>
        <v>TRASH P/U / PCT#1</v>
      </c>
      <c r="G526" s="1">
        <v>315</v>
      </c>
      <c r="H526" t="str">
        <f>"TRASH P/U / PCT#1"</f>
        <v>TRASH P/U / PCT#1</v>
      </c>
    </row>
    <row r="527" spans="1:8" x14ac:dyDescent="0.25">
      <c r="A527" t="s">
        <v>223</v>
      </c>
      <c r="B527">
        <v>3361</v>
      </c>
      <c r="C527" s="1">
        <v>2717</v>
      </c>
      <c r="D527" s="3">
        <v>44118</v>
      </c>
      <c r="E527" t="str">
        <f>"362"</f>
        <v>362</v>
      </c>
      <c r="F527" t="str">
        <f>"TOWER RENT"</f>
        <v>TOWER RENT</v>
      </c>
      <c r="G527" s="1">
        <v>2717</v>
      </c>
      <c r="H527" t="str">
        <f>"TOWER RENT"</f>
        <v>TOWER RENT</v>
      </c>
    </row>
    <row r="528" spans="1:8" x14ac:dyDescent="0.25">
      <c r="A528" t="s">
        <v>222</v>
      </c>
      <c r="B528">
        <v>3335</v>
      </c>
      <c r="C528" s="1">
        <v>3119</v>
      </c>
      <c r="D528" s="3">
        <v>44118</v>
      </c>
      <c r="E528" t="str">
        <f>"277513"</f>
        <v>277513</v>
      </c>
      <c r="F528" t="str">
        <f>"ORD#1269-F1240/ANIMAL SHELTER"</f>
        <v>ORD#1269-F1240/ANIMAL SHELTER</v>
      </c>
      <c r="G528" s="1">
        <v>720</v>
      </c>
      <c r="H528" t="str">
        <f>"ORD#1269-F1240/ANIMAL SHELTER"</f>
        <v>ORD#1269-F1240/ANIMAL SHELTER</v>
      </c>
    </row>
    <row r="529" spans="1:8" x14ac:dyDescent="0.25">
      <c r="E529" t="str">
        <f>"277514"</f>
        <v>277514</v>
      </c>
      <c r="F529" t="str">
        <f>"ORD#1269-9884/DSTA FIRE"</f>
        <v>ORD#1269-9884/DSTA FIRE</v>
      </c>
      <c r="G529" s="1">
        <v>99</v>
      </c>
      <c r="H529" t="str">
        <f>"ORD#1269-9884/DSTA FIRE"</f>
        <v>ORD#1269-9884/DSTA FIRE</v>
      </c>
    </row>
    <row r="530" spans="1:8" x14ac:dyDescent="0.25">
      <c r="E530" t="str">
        <f>"277574"</f>
        <v>277574</v>
      </c>
      <c r="F530" t="str">
        <f>"ORD#19728393"</f>
        <v>ORD#19728393</v>
      </c>
      <c r="G530" s="1">
        <v>220</v>
      </c>
      <c r="H530" t="str">
        <f>"ORD#19728393"</f>
        <v>ORD#19728393</v>
      </c>
    </row>
    <row r="531" spans="1:8" x14ac:dyDescent="0.25">
      <c r="E531" t="str">
        <f>"277639"</f>
        <v>277639</v>
      </c>
      <c r="F531" t="str">
        <f>"ORD#19412137/ANIMAL CONTROL"</f>
        <v>ORD#19412137/ANIMAL CONTROL</v>
      </c>
      <c r="G531" s="1">
        <v>2080</v>
      </c>
      <c r="H531" t="str">
        <f>"ORD#19412137/ANIMAL CONTROL"</f>
        <v>ORD#19412137/ANIMAL CONTROL</v>
      </c>
    </row>
    <row r="532" spans="1:8" x14ac:dyDescent="0.25">
      <c r="A532" t="s">
        <v>222</v>
      </c>
      <c r="B532">
        <v>3403</v>
      </c>
      <c r="C532" s="1">
        <v>1425</v>
      </c>
      <c r="D532" s="3">
        <v>44131</v>
      </c>
      <c r="E532" t="str">
        <f>"277777"</f>
        <v>277777</v>
      </c>
      <c r="F532" t="str">
        <f>"ORD#19766992/1125 DILDY DRIVE"</f>
        <v>ORD#19766992/1125 DILDY DRIVE</v>
      </c>
      <c r="G532" s="1">
        <v>1425</v>
      </c>
      <c r="H532" t="str">
        <f>"ORD#19766992/1125 DILDY DRIVE"</f>
        <v>ORD#19766992/1125 DILDY DRIVE</v>
      </c>
    </row>
    <row r="533" spans="1:8" x14ac:dyDescent="0.25">
      <c r="A533" t="s">
        <v>221</v>
      </c>
      <c r="B533">
        <v>133357</v>
      </c>
      <c r="C533" s="1">
        <v>226.94</v>
      </c>
      <c r="D533" s="3">
        <v>44117</v>
      </c>
      <c r="E533" t="str">
        <f>"X301088140:01"</f>
        <v>X301088140:01</v>
      </c>
      <c r="F533" t="str">
        <f>"ACCT#104992/PCT#1"</f>
        <v>ACCT#104992/PCT#1</v>
      </c>
      <c r="G533" s="1">
        <v>226.94</v>
      </c>
      <c r="H533" t="str">
        <f>"ACCT#104992/PCT#1"</f>
        <v>ACCT#104992/PCT#1</v>
      </c>
    </row>
    <row r="534" spans="1:8" x14ac:dyDescent="0.25">
      <c r="A534" t="s">
        <v>220</v>
      </c>
      <c r="B534">
        <v>133358</v>
      </c>
      <c r="C534" s="1">
        <v>2260.91</v>
      </c>
      <c r="D534" s="3">
        <v>44117</v>
      </c>
      <c r="E534" t="str">
        <f>"202010059277"</f>
        <v>202010059277</v>
      </c>
      <c r="F534" t="str">
        <f>"ACCT#1800/PCT#4"</f>
        <v>ACCT#1800/PCT#4</v>
      </c>
      <c r="G534" s="1">
        <v>1058.6500000000001</v>
      </c>
      <c r="H534" t="str">
        <f>"ACCT#1800/PCT#4"</f>
        <v>ACCT#1800/PCT#4</v>
      </c>
    </row>
    <row r="535" spans="1:8" x14ac:dyDescent="0.25">
      <c r="E535" t="str">
        <f>"202010059353"</f>
        <v>202010059353</v>
      </c>
      <c r="F535" t="str">
        <f>"ACCT#1645/WILDFIRE MITIGATION"</f>
        <v>ACCT#1645/WILDFIRE MITIGATION</v>
      </c>
      <c r="G535" s="1">
        <v>224.85</v>
      </c>
      <c r="H535" t="str">
        <f>"ACCT#1645/WILDFIRE MITIGATION"</f>
        <v>ACCT#1645/WILDFIRE MITIGATION</v>
      </c>
    </row>
    <row r="536" spans="1:8" x14ac:dyDescent="0.25">
      <c r="E536" t="str">
        <f>"202010059354"</f>
        <v>202010059354</v>
      </c>
      <c r="F536" t="str">
        <f>"ACCT#1700/PCT#2"</f>
        <v>ACCT#1700/PCT#2</v>
      </c>
      <c r="G536" s="1">
        <v>23.13</v>
      </c>
      <c r="H536" t="str">
        <f>"ACCT#1700/PCT#2"</f>
        <v>ACCT#1700/PCT#2</v>
      </c>
    </row>
    <row r="537" spans="1:8" x14ac:dyDescent="0.25">
      <c r="E537" t="str">
        <f>"202010059355"</f>
        <v>202010059355</v>
      </c>
      <c r="F537" t="str">
        <f>"ACCT#1750/PCT#3"</f>
        <v>ACCT#1750/PCT#3</v>
      </c>
      <c r="G537" s="1">
        <v>650.33000000000004</v>
      </c>
      <c r="H537" t="str">
        <f>"ACCT#1750/PCT#3"</f>
        <v>ACCT#1750/PCT#3</v>
      </c>
    </row>
    <row r="538" spans="1:8" x14ac:dyDescent="0.25">
      <c r="E538" t="str">
        <f>"202010059357"</f>
        <v>202010059357</v>
      </c>
      <c r="F538" t="str">
        <f>"ACCT#1650/GENERAL SVCS"</f>
        <v>ACCT#1650/GENERAL SVCS</v>
      </c>
      <c r="G538" s="1">
        <v>27.99</v>
      </c>
      <c r="H538" t="str">
        <f>"ACCT#1650/GENERAL SVCS"</f>
        <v>ACCT#1650/GENERAL SVCS</v>
      </c>
    </row>
    <row r="539" spans="1:8" x14ac:dyDescent="0.25">
      <c r="E539" t="str">
        <f>"202010079506"</f>
        <v>202010079506</v>
      </c>
      <c r="F539" t="str">
        <f>"ACCT#1650/PCT#1"</f>
        <v>ACCT#1650/PCT#1</v>
      </c>
      <c r="G539" s="1">
        <v>275.95999999999998</v>
      </c>
      <c r="H539" t="str">
        <f>"ACCT#1650/PCT#1"</f>
        <v>ACCT#1650/PCT#1</v>
      </c>
    </row>
    <row r="540" spans="1:8" x14ac:dyDescent="0.25">
      <c r="A540" t="s">
        <v>219</v>
      </c>
      <c r="B540">
        <v>3323</v>
      </c>
      <c r="C540" s="1">
        <v>1419.06</v>
      </c>
      <c r="D540" s="3">
        <v>44118</v>
      </c>
      <c r="E540" t="str">
        <f>"09230390 09309086"</f>
        <v>09230390 09309086</v>
      </c>
      <c r="F540" t="str">
        <f>"INV 09230390"</f>
        <v>INV 09230390</v>
      </c>
      <c r="G540" s="1">
        <v>1419.06</v>
      </c>
      <c r="H540" t="str">
        <f>"INV 09230390"</f>
        <v>INV 09230390</v>
      </c>
    </row>
    <row r="541" spans="1:8" x14ac:dyDescent="0.25">
      <c r="E541" t="str">
        <f>""</f>
        <v/>
      </c>
      <c r="F541" t="str">
        <f>""</f>
        <v/>
      </c>
      <c r="H541" t="str">
        <f>"INV 09309086"</f>
        <v>INV 09309086</v>
      </c>
    </row>
    <row r="542" spans="1:8" x14ac:dyDescent="0.25">
      <c r="A542" t="s">
        <v>219</v>
      </c>
      <c r="B542">
        <v>3391</v>
      </c>
      <c r="C542" s="1">
        <v>1897.97</v>
      </c>
      <c r="D542" s="3">
        <v>44131</v>
      </c>
      <c r="E542" t="str">
        <f>"10077788  10145712"</f>
        <v>10077788  10145712</v>
      </c>
      <c r="F542" t="str">
        <f>"INV 10077788"</f>
        <v>INV 10077788</v>
      </c>
      <c r="G542" s="1">
        <v>1897.97</v>
      </c>
      <c r="H542" t="str">
        <f>"INV 10077788"</f>
        <v>INV 10077788</v>
      </c>
    </row>
    <row r="543" spans="1:8" x14ac:dyDescent="0.25">
      <c r="E543" t="str">
        <f>""</f>
        <v/>
      </c>
      <c r="F543" t="str">
        <f>""</f>
        <v/>
      </c>
      <c r="H543" t="str">
        <f>"INV 10145712"</f>
        <v>INV 10145712</v>
      </c>
    </row>
    <row r="544" spans="1:8" x14ac:dyDescent="0.25">
      <c r="A544" t="s">
        <v>218</v>
      </c>
      <c r="B544">
        <v>133283</v>
      </c>
      <c r="C544" s="1">
        <v>50.25</v>
      </c>
      <c r="D544" s="3">
        <v>44111</v>
      </c>
      <c r="E544" t="str">
        <f>"202010069499"</f>
        <v>202010069499</v>
      </c>
      <c r="F544" t="str">
        <f>"ACCT#1-09-00072-02 1/09252020"</f>
        <v>ACCT#1-09-00072-02 1/09252020</v>
      </c>
      <c r="G544" s="1">
        <v>50.25</v>
      </c>
      <c r="H544" t="str">
        <f>"ACCT#1-09-00072-02 1/09252020"</f>
        <v>ACCT#1-09-00072-02 1/09252020</v>
      </c>
    </row>
    <row r="545" spans="1:8" x14ac:dyDescent="0.25">
      <c r="A545" t="s">
        <v>217</v>
      </c>
      <c r="B545">
        <v>133359</v>
      </c>
      <c r="C545" s="1">
        <v>225</v>
      </c>
      <c r="D545" s="3">
        <v>44117</v>
      </c>
      <c r="E545" t="str">
        <f>"20769"</f>
        <v>20769</v>
      </c>
      <c r="F545" t="str">
        <f>"SPANISH INTERPRETING/TRAVEL"</f>
        <v>SPANISH INTERPRETING/TRAVEL</v>
      </c>
      <c r="G545" s="1">
        <v>225</v>
      </c>
      <c r="H545" t="str">
        <f>"SPANISH INTERPRETING/TRAVEL"</f>
        <v>SPANISH INTERPRETING/TRAVEL</v>
      </c>
    </row>
    <row r="546" spans="1:8" x14ac:dyDescent="0.25">
      <c r="A546" t="s">
        <v>216</v>
      </c>
      <c r="B546">
        <v>133360</v>
      </c>
      <c r="C546" s="1">
        <v>250</v>
      </c>
      <c r="D546" s="3">
        <v>44117</v>
      </c>
      <c r="E546" t="str">
        <f>"1361725-20200930"</f>
        <v>1361725-20200930</v>
      </c>
      <c r="F546" t="str">
        <f>"BILL ID:1361725/INDIGENT HLTH"</f>
        <v>BILL ID:1361725/INDIGENT HLTH</v>
      </c>
      <c r="G546" s="1">
        <v>150</v>
      </c>
      <c r="H546" t="str">
        <f>"BILL ID:1361725/INDIGENT HLTH"</f>
        <v>BILL ID:1361725/INDIGENT HLTH</v>
      </c>
    </row>
    <row r="547" spans="1:8" x14ac:dyDescent="0.25">
      <c r="E547" t="str">
        <f>"1394645-20200930"</f>
        <v>1394645-20200930</v>
      </c>
      <c r="F547" t="str">
        <f>"BILL ID:1394645/COUNTY CLERK"</f>
        <v>BILL ID:1394645/COUNTY CLERK</v>
      </c>
      <c r="G547" s="1">
        <v>50</v>
      </c>
      <c r="H547" t="str">
        <f>"BILL ID:1394645/COUNTY CLERK"</f>
        <v>BILL ID:1394645/COUNTY CLERK</v>
      </c>
    </row>
    <row r="548" spans="1:8" x14ac:dyDescent="0.25">
      <c r="E548" t="str">
        <f>"1489870-20200930"</f>
        <v>1489870-20200930</v>
      </c>
      <c r="F548" t="str">
        <f>"BILL ID:1489870/DISTRICT CLERK"</f>
        <v>BILL ID:1489870/DISTRICT CLERK</v>
      </c>
      <c r="G548" s="1">
        <v>50</v>
      </c>
      <c r="H548" t="str">
        <f>"BILL ID:1489870/DISTRICT CLERK"</f>
        <v>BILL ID:1489870/DISTRICT CLERK</v>
      </c>
    </row>
    <row r="549" spans="1:8" x14ac:dyDescent="0.25">
      <c r="A549" t="s">
        <v>216</v>
      </c>
      <c r="B549">
        <v>133480</v>
      </c>
      <c r="C549" s="1">
        <v>675.25</v>
      </c>
      <c r="D549" s="3">
        <v>44130</v>
      </c>
      <c r="E549" t="str">
        <f>"1211621-20200930"</f>
        <v>1211621-20200930</v>
      </c>
      <c r="F549" t="str">
        <f>"BILL ID:1211621/HEALTH SVCS"</f>
        <v>BILL ID:1211621/HEALTH SVCS</v>
      </c>
      <c r="G549" s="1">
        <v>305.25</v>
      </c>
      <c r="H549" t="str">
        <f>"BILL ID:1211621/HEALTH SVCS"</f>
        <v>BILL ID:1211621/HEALTH SVCS</v>
      </c>
    </row>
    <row r="550" spans="1:8" x14ac:dyDescent="0.25">
      <c r="E550" t="str">
        <f>"1420944-20200930"</f>
        <v>1420944-20200930</v>
      </c>
      <c r="F550" t="str">
        <f>"BILL ID:1420944/SHERIFF'S OFF"</f>
        <v>BILL ID:1420944/SHERIFF'S OFF</v>
      </c>
      <c r="G550" s="1">
        <v>370</v>
      </c>
      <c r="H550" t="str">
        <f>"BILL ID:1420944/SHERIFF'S OFF"</f>
        <v>BILL ID:1420944/SHERIFF'S OFF</v>
      </c>
    </row>
    <row r="551" spans="1:8" x14ac:dyDescent="0.25">
      <c r="A551" t="s">
        <v>215</v>
      </c>
      <c r="B551">
        <v>3367</v>
      </c>
      <c r="C551" s="1">
        <v>30</v>
      </c>
      <c r="D551" s="3">
        <v>44118</v>
      </c>
      <c r="E551" t="str">
        <f>"202010059385"</f>
        <v>202010059385</v>
      </c>
      <c r="F551" t="str">
        <f>"VEHICLE REGISTRATION - IT"</f>
        <v>VEHICLE REGISTRATION - IT</v>
      </c>
      <c r="G551" s="1">
        <v>7.5</v>
      </c>
      <c r="H551" t="str">
        <f>"VEHICLE REGISTRATION - IT"</f>
        <v>VEHICLE REGISTRATION - IT</v>
      </c>
    </row>
    <row r="552" spans="1:8" x14ac:dyDescent="0.25">
      <c r="E552" t="str">
        <f>"202010059386"</f>
        <v>202010059386</v>
      </c>
      <c r="F552" t="str">
        <f>"VEHICLE REG (PURCHASING)"</f>
        <v>VEHICLE REG (PURCHASING)</v>
      </c>
      <c r="G552" s="1">
        <v>7.5</v>
      </c>
      <c r="H552" t="str">
        <f>"VEHICLE REG (PURCHASING)"</f>
        <v>VEHICLE REG (PURCHASING)</v>
      </c>
    </row>
    <row r="553" spans="1:8" x14ac:dyDescent="0.25">
      <c r="E553" t="str">
        <f>"202010059387"</f>
        <v>202010059387</v>
      </c>
      <c r="F553" t="str">
        <f>"VEHICLE REGISTRATION-PCT#4"</f>
        <v>VEHICLE REGISTRATION-PCT#4</v>
      </c>
      <c r="G553" s="1">
        <v>7.5</v>
      </c>
      <c r="H553" t="str">
        <f>"VEHICLE REGISTRATION-PCT#4"</f>
        <v>VEHICLE REGISTRATION-PCT#4</v>
      </c>
    </row>
    <row r="554" spans="1:8" x14ac:dyDescent="0.25">
      <c r="E554" t="str">
        <f>"202010069399"</f>
        <v>202010069399</v>
      </c>
      <c r="F554" t="str">
        <f>"VEHICLE REG 2018 RAM/GEN SVCS"</f>
        <v>VEHICLE REG 2018 RAM/GEN SVCS</v>
      </c>
      <c r="G554" s="1">
        <v>7.5</v>
      </c>
      <c r="H554" t="str">
        <f>"VEHICLE REG 2018 RAM/GEN SVCS"</f>
        <v>VEHICLE REG 2018 RAM/GEN SVCS</v>
      </c>
    </row>
    <row r="555" spans="1:8" x14ac:dyDescent="0.25">
      <c r="A555" t="s">
        <v>215</v>
      </c>
      <c r="B555">
        <v>3439</v>
      </c>
      <c r="C555" s="1">
        <v>37.5</v>
      </c>
      <c r="D555" s="3">
        <v>44131</v>
      </c>
      <c r="E555" t="str">
        <f>"202010209654"</f>
        <v>202010209654</v>
      </c>
      <c r="F555" t="str">
        <f>"VEHICLE REGISTRATIONS/PCT#1"</f>
        <v>VEHICLE REGISTRATIONS/PCT#1</v>
      </c>
      <c r="G555" s="1">
        <v>22.5</v>
      </c>
      <c r="H555" t="str">
        <f>"VEHICLE REGISTRATIONS/PCT#1"</f>
        <v>VEHICLE REGISTRATIONS/PCT#1</v>
      </c>
    </row>
    <row r="556" spans="1:8" x14ac:dyDescent="0.25">
      <c r="E556" t="str">
        <f>"202010209664"</f>
        <v>202010209664</v>
      </c>
      <c r="F556" t="str">
        <f>"VEHICLE REGISTRATION-HABITAT"</f>
        <v>VEHICLE REGISTRATION-HABITAT</v>
      </c>
      <c r="G556" s="1">
        <v>7.5</v>
      </c>
      <c r="H556" t="str">
        <f>"VEHICLE REGISTRATION-HABITAT"</f>
        <v>VEHICLE REGISTRATION-HABITAT</v>
      </c>
    </row>
    <row r="557" spans="1:8" x14ac:dyDescent="0.25">
      <c r="E557" t="str">
        <f>"202010209665"</f>
        <v>202010209665</v>
      </c>
      <c r="F557" t="str">
        <f>"VEHICLE REGISTRATION-ANIMAL CO"</f>
        <v>VEHICLE REGISTRATION-ANIMAL CO</v>
      </c>
      <c r="G557" s="1">
        <v>7.5</v>
      </c>
      <c r="H557" t="str">
        <f>"VEHICLE REGISTRATION-ANIMAL CO"</f>
        <v>VEHICLE REGISTRATION-ANIMAL CO</v>
      </c>
    </row>
    <row r="558" spans="1:8" x14ac:dyDescent="0.25">
      <c r="A558" t="s">
        <v>214</v>
      </c>
      <c r="B558">
        <v>133481</v>
      </c>
      <c r="C558" s="1">
        <v>1596.24</v>
      </c>
      <c r="D558" s="3">
        <v>44130</v>
      </c>
      <c r="E558" t="str">
        <f>"SVC0689098"</f>
        <v>SVC0689098</v>
      </c>
      <c r="F558" t="str">
        <f>"INV SVC0689098"</f>
        <v>INV SVC0689098</v>
      </c>
      <c r="G558" s="1">
        <v>1596.24</v>
      </c>
      <c r="H558" t="str">
        <f>"INV SVC0689098"</f>
        <v>INV SVC0689098</v>
      </c>
    </row>
    <row r="559" spans="1:8" x14ac:dyDescent="0.25">
      <c r="A559" t="s">
        <v>213</v>
      </c>
      <c r="B559">
        <v>133482</v>
      </c>
      <c r="C559" s="1">
        <v>60852.65</v>
      </c>
      <c r="D559" s="3">
        <v>44130</v>
      </c>
      <c r="E559" t="str">
        <f>"20-2056-01 20-2056"</f>
        <v>20-2056-01 20-2056</v>
      </c>
      <c r="F559" t="str">
        <f>"LEE CONSTRUCTION &amp; MAINTENANCE"</f>
        <v>LEE CONSTRUCTION &amp; MAINTENANCE</v>
      </c>
      <c r="G559" s="1">
        <v>60852.65</v>
      </c>
      <c r="H559" t="str">
        <f>"Park Bathroom"</f>
        <v>Park Bathroom</v>
      </c>
    </row>
    <row r="560" spans="1:8" x14ac:dyDescent="0.25">
      <c r="E560" t="str">
        <f>""</f>
        <v/>
      </c>
      <c r="F560" t="str">
        <f>""</f>
        <v/>
      </c>
      <c r="H560" t="str">
        <f>"Park Bathroom"</f>
        <v>Park Bathroom</v>
      </c>
    </row>
    <row r="561" spans="1:8" x14ac:dyDescent="0.25">
      <c r="A561" t="s">
        <v>212</v>
      </c>
      <c r="B561">
        <v>3409</v>
      </c>
      <c r="C561" s="1">
        <v>19061.310000000001</v>
      </c>
      <c r="D561" s="3">
        <v>44131</v>
      </c>
      <c r="E561" t="str">
        <f>"202010159616"</f>
        <v>202010159616</v>
      </c>
      <c r="F561" t="str">
        <f>"HOME VISITING GRANT/JULY2020"</f>
        <v>HOME VISITING GRANT/JULY2020</v>
      </c>
      <c r="G561" s="1">
        <v>18463.34</v>
      </c>
      <c r="H561" t="str">
        <f>"HOME VISITING GRANT/JULY2020"</f>
        <v>HOME VISITING GRANT/JULY2020</v>
      </c>
    </row>
    <row r="562" spans="1:8" x14ac:dyDescent="0.25">
      <c r="E562" t="str">
        <f>"202010219729"</f>
        <v>202010219729</v>
      </c>
      <c r="F562" t="str">
        <f>"INDIGENT HEALTH"</f>
        <v>INDIGENT HEALTH</v>
      </c>
      <c r="G562" s="1">
        <v>447.1</v>
      </c>
      <c r="H562" t="str">
        <f>"INDIGENT HEALTH"</f>
        <v>INDIGENT HEALTH</v>
      </c>
    </row>
    <row r="563" spans="1:8" x14ac:dyDescent="0.25">
      <c r="E563" t="str">
        <f>""</f>
        <v/>
      </c>
      <c r="F563" t="str">
        <f>""</f>
        <v/>
      </c>
      <c r="H563" t="str">
        <f>"INDIGENT HEALTH"</f>
        <v>INDIGENT HEALTH</v>
      </c>
    </row>
    <row r="564" spans="1:8" x14ac:dyDescent="0.25">
      <c r="E564" t="str">
        <f>""</f>
        <v/>
      </c>
      <c r="F564" t="str">
        <f>""</f>
        <v/>
      </c>
      <c r="H564" t="str">
        <f>"INDIGENT HEALTH"</f>
        <v>INDIGENT HEALTH</v>
      </c>
    </row>
    <row r="565" spans="1:8" x14ac:dyDescent="0.25">
      <c r="E565" t="str">
        <f>"202010219730"</f>
        <v>202010219730</v>
      </c>
      <c r="F565" t="str">
        <f>"INDIGENT HEALTH"</f>
        <v>INDIGENT HEALTH</v>
      </c>
      <c r="G565" s="1">
        <v>150.87</v>
      </c>
      <c r="H565" t="str">
        <f>"INDIGENT HEALTH"</f>
        <v>INDIGENT HEALTH</v>
      </c>
    </row>
    <row r="566" spans="1:8" x14ac:dyDescent="0.25">
      <c r="E566" t="str">
        <f>""</f>
        <v/>
      </c>
      <c r="F566" t="str">
        <f>""</f>
        <v/>
      </c>
      <c r="H566" t="str">
        <f>"INDIGENT HEALTH"</f>
        <v>INDIGENT HEALTH</v>
      </c>
    </row>
    <row r="567" spans="1:8" x14ac:dyDescent="0.25">
      <c r="A567" t="s">
        <v>211</v>
      </c>
      <c r="B567">
        <v>3347</v>
      </c>
      <c r="C567" s="1">
        <v>767</v>
      </c>
      <c r="D567" s="3">
        <v>44118</v>
      </c>
      <c r="E567" t="str">
        <f>"202010069472"</f>
        <v>202010069472</v>
      </c>
      <c r="F567" t="str">
        <f>"TRASH REMOVAL SEP28-30/PCT#4"</f>
        <v>TRASH REMOVAL SEP28-30/PCT#4</v>
      </c>
      <c r="G567" s="1">
        <v>169</v>
      </c>
      <c r="H567" t="str">
        <f>"TRASH REMOVAL SEP28-30/PCT#4"</f>
        <v>TRASH REMOVAL SEP28-30/PCT#4</v>
      </c>
    </row>
    <row r="568" spans="1:8" x14ac:dyDescent="0.25">
      <c r="E568" t="str">
        <f>"202010069473"</f>
        <v>202010069473</v>
      </c>
      <c r="F568" t="str">
        <f>"TRASH REMOVAL/OCT1-9/PCT#4"</f>
        <v>TRASH REMOVAL/OCT1-9/PCT#4</v>
      </c>
      <c r="G568" s="1">
        <v>598</v>
      </c>
      <c r="H568" t="str">
        <f>"TRASH REMOVAL/OCT1-9/PCT#4"</f>
        <v>TRASH REMOVAL/OCT1-9/PCT#4</v>
      </c>
    </row>
    <row r="569" spans="1:8" x14ac:dyDescent="0.25">
      <c r="A569" t="s">
        <v>211</v>
      </c>
      <c r="B569">
        <v>3415</v>
      </c>
      <c r="C569" s="1">
        <v>819</v>
      </c>
      <c r="D569" s="3">
        <v>44131</v>
      </c>
      <c r="E569" t="str">
        <f>"202010219755"</f>
        <v>202010219755</v>
      </c>
      <c r="F569" t="str">
        <f>"TRASH REMOVAL 10/12-10/23/P4"</f>
        <v>TRASH REMOVAL 10/12-10/23/P4</v>
      </c>
      <c r="G569" s="1">
        <v>819</v>
      </c>
      <c r="H569" t="str">
        <f>"TRASH REMOVAL 10/12-10/23/P4"</f>
        <v>TRASH REMOVAL 10/12-10/23/P4</v>
      </c>
    </row>
    <row r="570" spans="1:8" x14ac:dyDescent="0.25">
      <c r="A570" t="s">
        <v>210</v>
      </c>
      <c r="B570">
        <v>3371</v>
      </c>
      <c r="C570" s="1">
        <v>80</v>
      </c>
      <c r="D570" s="3">
        <v>44118</v>
      </c>
      <c r="E570" t="str">
        <f>"10-0101798 0102253"</f>
        <v>10-0101798 0102253</v>
      </c>
      <c r="F570" t="str">
        <f>"INV 10-0101798/10-0102253"</f>
        <v>INV 10-0101798/10-0102253</v>
      </c>
      <c r="G570" s="1">
        <v>80</v>
      </c>
      <c r="H570" t="str">
        <f>"INV 10-0101798"</f>
        <v>INV 10-0101798</v>
      </c>
    </row>
    <row r="571" spans="1:8" x14ac:dyDescent="0.25">
      <c r="E571" t="str">
        <f>""</f>
        <v/>
      </c>
      <c r="F571" t="str">
        <f>""</f>
        <v/>
      </c>
      <c r="H571" t="str">
        <f>"INV 10-0102253"</f>
        <v>INV 10-0102253</v>
      </c>
    </row>
    <row r="572" spans="1:8" x14ac:dyDescent="0.25">
      <c r="A572" t="s">
        <v>209</v>
      </c>
      <c r="B572">
        <v>133483</v>
      </c>
      <c r="C572" s="1">
        <v>0</v>
      </c>
      <c r="D572" s="3">
        <v>44130</v>
      </c>
      <c r="E572" t="s">
        <v>208</v>
      </c>
      <c r="F572" s="4" t="str">
        <f>"RESTITUTION - D. DOERFLINGER"</f>
        <v>RESTITUTION - D. DOERFLINGER</v>
      </c>
      <c r="G572" s="1">
        <v>250</v>
      </c>
      <c r="H572" t="s">
        <v>207</v>
      </c>
    </row>
    <row r="573" spans="1:8" x14ac:dyDescent="0.25">
      <c r="A573" t="s">
        <v>206</v>
      </c>
      <c r="B573">
        <v>3336</v>
      </c>
      <c r="C573" s="1">
        <v>200</v>
      </c>
      <c r="D573" s="3">
        <v>44118</v>
      </c>
      <c r="E573" t="str">
        <f>"202009309096"</f>
        <v>202009309096</v>
      </c>
      <c r="F573" t="str">
        <f>"4237429"</f>
        <v>4237429</v>
      </c>
      <c r="G573" s="1">
        <v>200</v>
      </c>
      <c r="H573" t="str">
        <f>"4237429"</f>
        <v>4237429</v>
      </c>
    </row>
    <row r="574" spans="1:8" x14ac:dyDescent="0.25">
      <c r="A574" t="s">
        <v>206</v>
      </c>
      <c r="B574">
        <v>3404</v>
      </c>
      <c r="C574" s="1">
        <v>350</v>
      </c>
      <c r="D574" s="3">
        <v>44131</v>
      </c>
      <c r="E574" t="str">
        <f>"202010149571"</f>
        <v>202010149571</v>
      </c>
      <c r="F574" t="str">
        <f>"423RD DISTRICT COURT 100620"</f>
        <v>423RD DISTRICT COURT 100620</v>
      </c>
      <c r="G574" s="1">
        <v>150</v>
      </c>
      <c r="H574" t="str">
        <f>"423RD DISTRICT COURT 100620"</f>
        <v>423RD DISTRICT COURT 100620</v>
      </c>
    </row>
    <row r="575" spans="1:8" x14ac:dyDescent="0.25">
      <c r="E575" t="str">
        <f>"202010209684"</f>
        <v>202010209684</v>
      </c>
      <c r="F575" t="str">
        <f>"COUNTY COURT 101320"</f>
        <v>COUNTY COURT 101320</v>
      </c>
      <c r="G575" s="1">
        <v>200</v>
      </c>
      <c r="H575" t="str">
        <f>"COUNTY COURT 101320"</f>
        <v>COUNTY COURT 101320</v>
      </c>
    </row>
    <row r="576" spans="1:8" x14ac:dyDescent="0.25">
      <c r="A576" t="s">
        <v>205</v>
      </c>
      <c r="B576">
        <v>3410</v>
      </c>
      <c r="C576" s="1">
        <v>516.76</v>
      </c>
      <c r="D576" s="3">
        <v>44131</v>
      </c>
      <c r="E576" t="str">
        <f>"202010149590"</f>
        <v>202010149590</v>
      </c>
      <c r="F576" t="str">
        <f>"REIMBURSE HOTEL/MEALS"</f>
        <v>REIMBURSE HOTEL/MEALS</v>
      </c>
      <c r="G576" s="1">
        <v>494.76</v>
      </c>
      <c r="H576" t="str">
        <f>"REIMBURSE HOTEL/MEALS"</f>
        <v>REIMBURSE HOTEL/MEALS</v>
      </c>
    </row>
    <row r="577" spans="1:8" x14ac:dyDescent="0.25">
      <c r="E577" t="str">
        <f>"202010219752"</f>
        <v>202010219752</v>
      </c>
      <c r="F577" t="str">
        <f>"REIMBURSE INSPECTION FEE"</f>
        <v>REIMBURSE INSPECTION FEE</v>
      </c>
      <c r="G577" s="1">
        <v>22</v>
      </c>
      <c r="H577" t="str">
        <f>"REIMBURSE INSPECTION FEE"</f>
        <v>REIMBURSE INSPECTION FEE</v>
      </c>
    </row>
    <row r="578" spans="1:8" x14ac:dyDescent="0.25">
      <c r="A578" t="s">
        <v>204</v>
      </c>
      <c r="B578">
        <v>133484</v>
      </c>
      <c r="C578" s="1">
        <v>396.6</v>
      </c>
      <c r="D578" s="3">
        <v>44130</v>
      </c>
      <c r="E578" t="str">
        <f>"202010219731"</f>
        <v>202010219731</v>
      </c>
      <c r="F578" t="str">
        <f>"INDIGENT HEALTH"</f>
        <v>INDIGENT HEALTH</v>
      </c>
      <c r="G578" s="1">
        <v>396.6</v>
      </c>
      <c r="H578" t="str">
        <f>"INDIGENT HEALTH"</f>
        <v>INDIGENT HEALTH</v>
      </c>
    </row>
    <row r="579" spans="1:8" x14ac:dyDescent="0.25">
      <c r="E579" t="str">
        <f>""</f>
        <v/>
      </c>
      <c r="F579" t="str">
        <f>""</f>
        <v/>
      </c>
      <c r="H579" t="str">
        <f>"INDIGENT HEALTH"</f>
        <v>INDIGENT HEALTH</v>
      </c>
    </row>
    <row r="580" spans="1:8" x14ac:dyDescent="0.25">
      <c r="A580" t="s">
        <v>203</v>
      </c>
      <c r="B580">
        <v>3338</v>
      </c>
      <c r="C580" s="1">
        <v>1306.25</v>
      </c>
      <c r="D580" s="3">
        <v>44118</v>
      </c>
      <c r="E580" t="str">
        <f>"202010059335"</f>
        <v>202010059335</v>
      </c>
      <c r="F580" t="str">
        <f>"55 714"</f>
        <v>55 714</v>
      </c>
      <c r="G580" s="1">
        <v>250</v>
      </c>
      <c r="H580" t="str">
        <f>"55 714"</f>
        <v>55 714</v>
      </c>
    </row>
    <row r="581" spans="1:8" x14ac:dyDescent="0.25">
      <c r="E581" t="str">
        <f>"202010059336"</f>
        <v>202010059336</v>
      </c>
      <c r="F581" t="str">
        <f>"NO CAUSE # LISTED"</f>
        <v>NO CAUSE # LISTED</v>
      </c>
      <c r="G581" s="1">
        <v>806.25</v>
      </c>
      <c r="H581" t="str">
        <f>"NO CAUSE # LISTED"</f>
        <v>NO CAUSE # LISTED</v>
      </c>
    </row>
    <row r="582" spans="1:8" x14ac:dyDescent="0.25">
      <c r="E582" t="str">
        <f>"202010059369"</f>
        <v>202010059369</v>
      </c>
      <c r="F582" t="str">
        <f>"J-3194"</f>
        <v>J-3194</v>
      </c>
      <c r="G582" s="1">
        <v>250</v>
      </c>
      <c r="H582" t="str">
        <f>"J-3194"</f>
        <v>J-3194</v>
      </c>
    </row>
    <row r="583" spans="1:8" x14ac:dyDescent="0.25">
      <c r="A583" t="s">
        <v>203</v>
      </c>
      <c r="B583">
        <v>3406</v>
      </c>
      <c r="C583" s="1">
        <v>2562.5</v>
      </c>
      <c r="D583" s="3">
        <v>44131</v>
      </c>
      <c r="E583" t="str">
        <f>"202010209676"</f>
        <v>202010209676</v>
      </c>
      <c r="F583" t="str">
        <f>"JP105312020B 925-357-3643"</f>
        <v>JP105312020B 925-357-3643</v>
      </c>
      <c r="G583" s="1">
        <v>125</v>
      </c>
      <c r="H583" t="str">
        <f>"JP105312020B 925-357-3643"</f>
        <v>JP105312020B 925-357-3643</v>
      </c>
    </row>
    <row r="584" spans="1:8" x14ac:dyDescent="0.25">
      <c r="E584" t="str">
        <f>"202010209696"</f>
        <v>202010209696</v>
      </c>
      <c r="F584" t="str">
        <f>"20-20207"</f>
        <v>20-20207</v>
      </c>
      <c r="G584" s="1">
        <v>1631.25</v>
      </c>
      <c r="H584" t="str">
        <f>"20-20207"</f>
        <v>20-20207</v>
      </c>
    </row>
    <row r="585" spans="1:8" x14ac:dyDescent="0.25">
      <c r="E585" t="str">
        <f>"202010209697"</f>
        <v>202010209697</v>
      </c>
      <c r="F585" t="str">
        <f>"NO CAUSE # LISTED"</f>
        <v>NO CAUSE # LISTED</v>
      </c>
      <c r="G585" s="1">
        <v>806.25</v>
      </c>
      <c r="H585" t="str">
        <f>"NO CAUSE # LISTED"</f>
        <v>NO CAUSE # LISTED</v>
      </c>
    </row>
    <row r="586" spans="1:8" x14ac:dyDescent="0.25">
      <c r="A586" t="s">
        <v>202</v>
      </c>
      <c r="B586">
        <v>133485</v>
      </c>
      <c r="C586" s="1">
        <v>304.60000000000002</v>
      </c>
      <c r="D586" s="3">
        <v>44130</v>
      </c>
      <c r="E586" t="str">
        <f>"22380386"</f>
        <v>22380386</v>
      </c>
      <c r="F586" t="str">
        <f>"ACCT#41472/PCT#1"</f>
        <v>ACCT#41472/PCT#1</v>
      </c>
      <c r="G586" s="1">
        <v>28.23</v>
      </c>
      <c r="H586" t="str">
        <f>"ACCT#41472/PCT#1"</f>
        <v>ACCT#41472/PCT#1</v>
      </c>
    </row>
    <row r="587" spans="1:8" x14ac:dyDescent="0.25">
      <c r="E587" t="str">
        <f>"22380462"</f>
        <v>22380462</v>
      </c>
      <c r="F587" t="str">
        <f>"ACCT#45057/PCT#4"</f>
        <v>ACCT#45057/PCT#4</v>
      </c>
      <c r="G587" s="1">
        <v>51.73</v>
      </c>
      <c r="H587" t="str">
        <f>"ACCT#45057/PCT#4"</f>
        <v>ACCT#45057/PCT#4</v>
      </c>
    </row>
    <row r="588" spans="1:8" x14ac:dyDescent="0.25">
      <c r="E588" t="str">
        <f>"22380515"</f>
        <v>22380515</v>
      </c>
      <c r="F588" t="str">
        <f>"INV 22380515"</f>
        <v>INV 22380515</v>
      </c>
      <c r="G588" s="1">
        <v>59.64</v>
      </c>
      <c r="H588" t="str">
        <f>"INV 22380515"</f>
        <v>INV 22380515</v>
      </c>
    </row>
    <row r="589" spans="1:8" x14ac:dyDescent="0.25">
      <c r="E589" t="str">
        <f>"S9549"</f>
        <v>S9549</v>
      </c>
      <c r="F589" t="str">
        <f>"ACCT#S9549/PCT#1"</f>
        <v>ACCT#S9549/PCT#1</v>
      </c>
      <c r="G589" s="1">
        <v>165</v>
      </c>
      <c r="H589" t="str">
        <f>"ACCT#S9549/PCT#1"</f>
        <v>ACCT#S9549/PCT#1</v>
      </c>
    </row>
    <row r="590" spans="1:8" x14ac:dyDescent="0.25">
      <c r="A590" t="s">
        <v>201</v>
      </c>
      <c r="B590">
        <v>133486</v>
      </c>
      <c r="C590" s="1">
        <v>1920</v>
      </c>
      <c r="D590" s="3">
        <v>44130</v>
      </c>
      <c r="E590" t="str">
        <f>"202010149568"</f>
        <v>202010149568</v>
      </c>
      <c r="F590" t="str">
        <f>"17031"</f>
        <v>17031</v>
      </c>
      <c r="G590" s="1">
        <v>1920</v>
      </c>
      <c r="H590" t="str">
        <f>"17031"</f>
        <v>17031</v>
      </c>
    </row>
    <row r="591" spans="1:8" x14ac:dyDescent="0.25">
      <c r="A591" t="s">
        <v>200</v>
      </c>
      <c r="B591">
        <v>3362</v>
      </c>
      <c r="C591" s="1">
        <v>167.87</v>
      </c>
      <c r="D591" s="3">
        <v>44118</v>
      </c>
      <c r="E591" t="str">
        <f>"695591"</f>
        <v>695591</v>
      </c>
      <c r="F591" t="str">
        <f>"ACCT#900-98011130-001/PCT#3"</f>
        <v>ACCT#900-98011130-001/PCT#3</v>
      </c>
      <c r="G591" s="1">
        <v>167.87</v>
      </c>
      <c r="H591" t="str">
        <f>"ACCT#900-98011130-001/PCT#3"</f>
        <v>ACCT#900-98011130-001/PCT#3</v>
      </c>
    </row>
    <row r="592" spans="1:8" x14ac:dyDescent="0.25">
      <c r="A592" t="s">
        <v>200</v>
      </c>
      <c r="B592">
        <v>3434</v>
      </c>
      <c r="C592" s="1">
        <v>16</v>
      </c>
      <c r="D592" s="3">
        <v>44131</v>
      </c>
      <c r="E592" t="str">
        <f>"696030"</f>
        <v>696030</v>
      </c>
      <c r="F592" t="str">
        <f>"ACCT#090098011130-001/FLAT BAR"</f>
        <v>ACCT#090098011130-001/FLAT BAR</v>
      </c>
      <c r="G592" s="1">
        <v>16</v>
      </c>
      <c r="H592" t="str">
        <f>"ACCT#090098011130-001/FLAT BAR"</f>
        <v>ACCT#090098011130-001/FLAT BAR</v>
      </c>
    </row>
    <row r="593" spans="1:8" x14ac:dyDescent="0.25">
      <c r="A593" t="s">
        <v>199</v>
      </c>
      <c r="B593">
        <v>133361</v>
      </c>
      <c r="C593" s="1">
        <v>25083.87</v>
      </c>
      <c r="D593" s="3">
        <v>44117</v>
      </c>
      <c r="E593" t="str">
        <f>"202010059352"</f>
        <v>202010059352</v>
      </c>
      <c r="F593" t="str">
        <f>"DELINQUENT TAX COLL-SEP 2020"</f>
        <v>DELINQUENT TAX COLL-SEP 2020</v>
      </c>
      <c r="G593" s="1">
        <v>25083.87</v>
      </c>
      <c r="H593" t="str">
        <f>"DELINQUENT TAX COLL-SEP 2020"</f>
        <v>DELINQUENT TAX COLL-SEP 2020</v>
      </c>
    </row>
    <row r="594" spans="1:8" x14ac:dyDescent="0.25">
      <c r="A594" t="s">
        <v>19</v>
      </c>
      <c r="B594">
        <v>133362</v>
      </c>
      <c r="C594" s="1">
        <v>1135.94</v>
      </c>
      <c r="D594" s="3">
        <v>44117</v>
      </c>
      <c r="E594" t="str">
        <f>"17041998 17042240"</f>
        <v>17041998 17042240</v>
      </c>
      <c r="F594" t="str">
        <f>"INV 17041998"</f>
        <v>INV 17041998</v>
      </c>
      <c r="G594" s="1">
        <v>253.08</v>
      </c>
      <c r="H594" t="str">
        <f>"INV 17041998"</f>
        <v>INV 17041998</v>
      </c>
    </row>
    <row r="595" spans="1:8" x14ac:dyDescent="0.25">
      <c r="E595" t="str">
        <f>""</f>
        <v/>
      </c>
      <c r="F595" t="str">
        <f>""</f>
        <v/>
      </c>
      <c r="H595" t="str">
        <f>"INV 17042240"</f>
        <v>INV 17042240</v>
      </c>
    </row>
    <row r="596" spans="1:8" x14ac:dyDescent="0.25">
      <c r="E596" t="str">
        <f>""</f>
        <v/>
      </c>
      <c r="F596" t="str">
        <f>""</f>
        <v/>
      </c>
      <c r="H596" t="str">
        <f>"INV 17042264"</f>
        <v>INV 17042264</v>
      </c>
    </row>
    <row r="597" spans="1:8" x14ac:dyDescent="0.25">
      <c r="E597" t="str">
        <f>""</f>
        <v/>
      </c>
      <c r="F597" t="str">
        <f>""</f>
        <v/>
      </c>
      <c r="H597" t="str">
        <f>"INV 17042126"</f>
        <v>INV 17042126</v>
      </c>
    </row>
    <row r="598" spans="1:8" x14ac:dyDescent="0.25">
      <c r="E598" t="str">
        <f>""</f>
        <v/>
      </c>
      <c r="F598" t="str">
        <f>""</f>
        <v/>
      </c>
      <c r="H598" t="str">
        <f>"INV 17042193"</f>
        <v>INV 17042193</v>
      </c>
    </row>
    <row r="599" spans="1:8" x14ac:dyDescent="0.25">
      <c r="E599" t="str">
        <f>"17046134 17047844"</f>
        <v>17046134 17047844</v>
      </c>
      <c r="F599" t="str">
        <f>"INV 17046134"</f>
        <v>INV 17046134</v>
      </c>
      <c r="G599" s="1">
        <v>882.86</v>
      </c>
      <c r="H599" t="str">
        <f>"INV 17046134"</f>
        <v>INV 17046134</v>
      </c>
    </row>
    <row r="600" spans="1:8" x14ac:dyDescent="0.25">
      <c r="E600" t="str">
        <f>""</f>
        <v/>
      </c>
      <c r="F600" t="str">
        <f>""</f>
        <v/>
      </c>
      <c r="H600" t="str">
        <f>"INV 17047844"</f>
        <v>INV 17047844</v>
      </c>
    </row>
    <row r="601" spans="1:8" x14ac:dyDescent="0.25">
      <c r="A601" t="s">
        <v>19</v>
      </c>
      <c r="B601">
        <v>133487</v>
      </c>
      <c r="C601" s="1">
        <v>1025.93</v>
      </c>
      <c r="D601" s="3">
        <v>44130</v>
      </c>
      <c r="E601" t="str">
        <f>"17046732"</f>
        <v>17046732</v>
      </c>
      <c r="F601" t="str">
        <f>"INV 17046732"</f>
        <v>INV 17046732</v>
      </c>
      <c r="G601" s="1">
        <v>835.09</v>
      </c>
      <c r="H601" t="str">
        <f>"INV 17046732"</f>
        <v>INV 17046732</v>
      </c>
    </row>
    <row r="602" spans="1:8" x14ac:dyDescent="0.25">
      <c r="E602" t="str">
        <f>"17058263"</f>
        <v>17058263</v>
      </c>
      <c r="F602" t="str">
        <f>"INV 17058263"</f>
        <v>INV 17058263</v>
      </c>
      <c r="G602" s="1">
        <v>190.84</v>
      </c>
      <c r="H602" t="str">
        <f>"INV 17058263"</f>
        <v>INV 17058263</v>
      </c>
    </row>
    <row r="603" spans="1:8" x14ac:dyDescent="0.25">
      <c r="A603" t="s">
        <v>198</v>
      </c>
      <c r="B603">
        <v>133488</v>
      </c>
      <c r="C603" s="1">
        <v>1655.64</v>
      </c>
      <c r="D603" s="3">
        <v>44130</v>
      </c>
      <c r="E603" t="str">
        <f>"202010219741"</f>
        <v>202010219741</v>
      </c>
      <c r="F603" t="str">
        <f>"INDIGENT HEALTH"</f>
        <v>INDIGENT HEALTH</v>
      </c>
      <c r="G603" s="1">
        <v>7.25</v>
      </c>
      <c r="H603" t="str">
        <f>"INDIGENT HEALTH"</f>
        <v>INDIGENT HEALTH</v>
      </c>
    </row>
    <row r="604" spans="1:8" x14ac:dyDescent="0.25">
      <c r="E604" t="str">
        <f>""</f>
        <v/>
      </c>
      <c r="F604" t="str">
        <f>""</f>
        <v/>
      </c>
      <c r="H604" t="str">
        <f>"INDIGENT HEALTH"</f>
        <v>INDIGENT HEALTH</v>
      </c>
    </row>
    <row r="605" spans="1:8" x14ac:dyDescent="0.25">
      <c r="E605" t="str">
        <f>"202010219742"</f>
        <v>202010219742</v>
      </c>
      <c r="F605" t="str">
        <f>"INDIGENT HEALTH"</f>
        <v>INDIGENT HEALTH</v>
      </c>
      <c r="G605" s="1">
        <v>1648.39</v>
      </c>
      <c r="H605" t="str">
        <f>"INDIGENT HEALTH"</f>
        <v>INDIGENT HEALTH</v>
      </c>
    </row>
    <row r="606" spans="1:8" x14ac:dyDescent="0.25">
      <c r="A606" t="s">
        <v>197</v>
      </c>
      <c r="B606">
        <v>133363</v>
      </c>
      <c r="C606" s="1">
        <v>2500</v>
      </c>
      <c r="D606" s="3">
        <v>44117</v>
      </c>
      <c r="E606" t="str">
        <f>"202010059345"</f>
        <v>202010059345</v>
      </c>
      <c r="F606" t="str">
        <f>"FY20-21"</f>
        <v>FY20-21</v>
      </c>
      <c r="G606" s="1">
        <v>2500</v>
      </c>
      <c r="H606" t="str">
        <f>"FY20-21"</f>
        <v>FY20-21</v>
      </c>
    </row>
    <row r="607" spans="1:8" x14ac:dyDescent="0.25">
      <c r="A607" t="s">
        <v>196</v>
      </c>
      <c r="B607">
        <v>3411</v>
      </c>
      <c r="C607" s="1">
        <v>726.52</v>
      </c>
      <c r="D607" s="3">
        <v>44131</v>
      </c>
      <c r="E607" t="str">
        <f>"202010209667"</f>
        <v>202010209667</v>
      </c>
      <c r="F607" t="str">
        <f>"TRAVEL EXPENSE REIMBURSEMENT"</f>
        <v>TRAVEL EXPENSE REIMBURSEMENT</v>
      </c>
      <c r="G607" s="1">
        <v>726.52</v>
      </c>
      <c r="H607" t="str">
        <f>"TRAVEL EXPENSE REIMBURSEMENT"</f>
        <v>TRAVEL EXPENSE REIMBURSEMENT</v>
      </c>
    </row>
    <row r="608" spans="1:8" x14ac:dyDescent="0.25">
      <c r="A608" t="s">
        <v>195</v>
      </c>
      <c r="B608">
        <v>3363</v>
      </c>
      <c r="C608" s="1">
        <v>100</v>
      </c>
      <c r="D608" s="3">
        <v>44118</v>
      </c>
      <c r="E608" t="str">
        <f>"20-036"</f>
        <v>20-036</v>
      </c>
      <c r="F608" t="str">
        <f>"E-FILE 423-6435"</f>
        <v>E-FILE 423-6435</v>
      </c>
      <c r="G608" s="1">
        <v>100</v>
      </c>
      <c r="H608" t="str">
        <f>"E-FILE 423-6435"</f>
        <v>E-FILE 423-6435</v>
      </c>
    </row>
    <row r="609" spans="1:8" x14ac:dyDescent="0.25">
      <c r="A609" t="s">
        <v>195</v>
      </c>
      <c r="B609">
        <v>3435</v>
      </c>
      <c r="C609" s="1">
        <v>210</v>
      </c>
      <c r="D609" s="3">
        <v>44131</v>
      </c>
      <c r="E609" t="str">
        <f>"20-037"</f>
        <v>20-037</v>
      </c>
      <c r="F609" t="str">
        <f>"1630-335"</f>
        <v>1630-335</v>
      </c>
      <c r="G609" s="1">
        <v>210</v>
      </c>
      <c r="H609" t="str">
        <f>"1630-335"</f>
        <v>1630-335</v>
      </c>
    </row>
    <row r="610" spans="1:8" x14ac:dyDescent="0.25">
      <c r="A610" t="s">
        <v>194</v>
      </c>
      <c r="B610">
        <v>3328</v>
      </c>
      <c r="C610" s="1">
        <v>4315.3</v>
      </c>
      <c r="D610" s="3">
        <v>44118</v>
      </c>
      <c r="E610" t="str">
        <f>"23052"</f>
        <v>23052</v>
      </c>
      <c r="F610" t="str">
        <f>"FREIGHT SALES/PCT#2"</f>
        <v>FREIGHT SALES/PCT#2</v>
      </c>
      <c r="G610" s="1">
        <v>2153.35</v>
      </c>
      <c r="H610" t="str">
        <f>"FREIGHT SALES/PCT#2"</f>
        <v>FREIGHT SALES/PCT#2</v>
      </c>
    </row>
    <row r="611" spans="1:8" x14ac:dyDescent="0.25">
      <c r="E611" t="str">
        <f>"23122"</f>
        <v>23122</v>
      </c>
      <c r="F611" t="str">
        <f>"FREIGHT SALES/PCT#2"</f>
        <v>FREIGHT SALES/PCT#2</v>
      </c>
      <c r="G611" s="1">
        <v>2161.9499999999998</v>
      </c>
      <c r="H611" t="str">
        <f>"FREIGHT SALES/PCT#2"</f>
        <v>FREIGHT SALES/PCT#2</v>
      </c>
    </row>
    <row r="612" spans="1:8" x14ac:dyDescent="0.25">
      <c r="A612" t="s">
        <v>194</v>
      </c>
      <c r="B612">
        <v>3398</v>
      </c>
      <c r="C612" s="1">
        <v>5458.5</v>
      </c>
      <c r="D612" s="3">
        <v>44131</v>
      </c>
      <c r="E612" t="str">
        <f>"23104"</f>
        <v>23104</v>
      </c>
      <c r="F612" t="str">
        <f>"FREIGHT SALES/PCT#2"</f>
        <v>FREIGHT SALES/PCT#2</v>
      </c>
      <c r="G612" s="1">
        <v>593.95000000000005</v>
      </c>
      <c r="H612" t="str">
        <f>"FREIGHT SALES/PCT#2"</f>
        <v>FREIGHT SALES/PCT#2</v>
      </c>
    </row>
    <row r="613" spans="1:8" x14ac:dyDescent="0.25">
      <c r="E613" t="str">
        <f>"23166"</f>
        <v>23166</v>
      </c>
      <c r="F613" t="str">
        <f>"FREIGHT SALES/PCT#2"</f>
        <v>FREIGHT SALES/PCT#2</v>
      </c>
      <c r="G613" s="1">
        <v>2728.5</v>
      </c>
      <c r="H613" t="str">
        <f>"FREIGHT SALES/PCT#2"</f>
        <v>FREIGHT SALES/PCT#2</v>
      </c>
    </row>
    <row r="614" spans="1:8" x14ac:dyDescent="0.25">
      <c r="E614" t="str">
        <f>"23236"</f>
        <v>23236</v>
      </c>
      <c r="F614" t="str">
        <f>"FREIGHT SALES/PCT#2"</f>
        <v>FREIGHT SALES/PCT#2</v>
      </c>
      <c r="G614" s="1">
        <v>2136.0500000000002</v>
      </c>
      <c r="H614" t="str">
        <f>"FREIGHT SALES/PCT#2"</f>
        <v>FREIGHT SALES/PCT#2</v>
      </c>
    </row>
    <row r="615" spans="1:8" x14ac:dyDescent="0.25">
      <c r="A615" t="s">
        <v>193</v>
      </c>
      <c r="B615">
        <v>133285</v>
      </c>
      <c r="C615" s="1">
        <v>40</v>
      </c>
      <c r="D615" s="3">
        <v>44111</v>
      </c>
      <c r="E615" t="str">
        <f>"202010079520"</f>
        <v>202010079520</v>
      </c>
      <c r="F615" t="str">
        <f>"Misc"</f>
        <v>Misc</v>
      </c>
      <c r="G615" s="1">
        <v>40</v>
      </c>
      <c r="H615" t="str">
        <f>"CHARITTY NOEL ALEXANDER"</f>
        <v>CHARITTY NOEL ALEXANDER</v>
      </c>
    </row>
    <row r="616" spans="1:8" x14ac:dyDescent="0.25">
      <c r="A616" t="s">
        <v>192</v>
      </c>
      <c r="B616">
        <v>133286</v>
      </c>
      <c r="C616" s="1">
        <v>40</v>
      </c>
      <c r="D616" s="3">
        <v>44111</v>
      </c>
      <c r="E616" t="str">
        <f>"202010079521"</f>
        <v>202010079521</v>
      </c>
      <c r="F616" t="str">
        <f>"Misce"</f>
        <v>Misce</v>
      </c>
      <c r="G616" s="1">
        <v>40</v>
      </c>
      <c r="H616" t="str">
        <f>"MARINA CALDERON JAECKS"</f>
        <v>MARINA CALDERON JAECKS</v>
      </c>
    </row>
    <row r="617" spans="1:8" x14ac:dyDescent="0.25">
      <c r="A617" t="s">
        <v>191</v>
      </c>
      <c r="B617">
        <v>133287</v>
      </c>
      <c r="C617" s="1">
        <v>40</v>
      </c>
      <c r="D617" s="3">
        <v>44111</v>
      </c>
      <c r="E617" t="str">
        <f>"202010079522"</f>
        <v>202010079522</v>
      </c>
      <c r="F617" t="str">
        <f>"Miscellaneou"</f>
        <v>Miscellaneou</v>
      </c>
      <c r="G617" s="1">
        <v>40</v>
      </c>
      <c r="H617" t="str">
        <f>"DREW ALAN LEWIS"</f>
        <v>DREW ALAN LEWIS</v>
      </c>
    </row>
    <row r="618" spans="1:8" x14ac:dyDescent="0.25">
      <c r="A618" t="s">
        <v>190</v>
      </c>
      <c r="B618">
        <v>133288</v>
      </c>
      <c r="C618" s="1">
        <v>40</v>
      </c>
      <c r="D618" s="3">
        <v>44111</v>
      </c>
      <c r="E618" t="str">
        <f>"202010079523"</f>
        <v>202010079523</v>
      </c>
      <c r="F618" t="str">
        <f>"Miscellaneou"</f>
        <v>Miscellaneou</v>
      </c>
      <c r="G618" s="1">
        <v>40</v>
      </c>
      <c r="H618" t="str">
        <f>"JENNIFER L HOTZ"</f>
        <v>JENNIFER L HOTZ</v>
      </c>
    </row>
    <row r="619" spans="1:8" x14ac:dyDescent="0.25">
      <c r="A619" t="s">
        <v>189</v>
      </c>
      <c r="B619">
        <v>133289</v>
      </c>
      <c r="C619" s="1">
        <v>40</v>
      </c>
      <c r="D619" s="3">
        <v>44111</v>
      </c>
      <c r="E619" t="str">
        <f>"202010079524"</f>
        <v>202010079524</v>
      </c>
      <c r="F619" t="str">
        <f>"Miscel"</f>
        <v>Miscel</v>
      </c>
      <c r="G619" s="1">
        <v>40</v>
      </c>
      <c r="H619" t="str">
        <f>"SUSAN MERINO CASTILLO"</f>
        <v>SUSAN MERINO CASTILLO</v>
      </c>
    </row>
    <row r="620" spans="1:8" x14ac:dyDescent="0.25">
      <c r="A620" t="s">
        <v>188</v>
      </c>
      <c r="B620">
        <v>133290</v>
      </c>
      <c r="C620" s="1">
        <v>40</v>
      </c>
      <c r="D620" s="3">
        <v>44111</v>
      </c>
      <c r="E620" t="str">
        <f>"202010079525"</f>
        <v>202010079525</v>
      </c>
      <c r="F620" t="str">
        <f>"Miscel"</f>
        <v>Miscel</v>
      </c>
      <c r="G620" s="1">
        <v>40</v>
      </c>
      <c r="H620" t="str">
        <f>"BETHANY ANNE DIETRICH"</f>
        <v>BETHANY ANNE DIETRICH</v>
      </c>
    </row>
    <row r="621" spans="1:8" x14ac:dyDescent="0.25">
      <c r="A621" t="s">
        <v>187</v>
      </c>
      <c r="B621">
        <v>133291</v>
      </c>
      <c r="C621" s="1">
        <v>40</v>
      </c>
      <c r="D621" s="3">
        <v>44111</v>
      </c>
      <c r="E621" t="str">
        <f>"202010079526"</f>
        <v>202010079526</v>
      </c>
      <c r="F621" t="str">
        <f>"Miscellaneous"</f>
        <v>Miscellaneous</v>
      </c>
      <c r="G621" s="1">
        <v>40</v>
      </c>
      <c r="H621" t="str">
        <f>"ANDRE L BINGER"</f>
        <v>ANDRE L BINGER</v>
      </c>
    </row>
    <row r="622" spans="1:8" x14ac:dyDescent="0.25">
      <c r="A622" t="s">
        <v>186</v>
      </c>
      <c r="B622">
        <v>133292</v>
      </c>
      <c r="C622" s="1">
        <v>40</v>
      </c>
      <c r="D622" s="3">
        <v>44111</v>
      </c>
      <c r="E622" t="str">
        <f>"202010079527"</f>
        <v>202010079527</v>
      </c>
      <c r="F622" t="str">
        <f>"Miscellan"</f>
        <v>Miscellan</v>
      </c>
      <c r="G622" s="1">
        <v>40</v>
      </c>
      <c r="H622" t="str">
        <f>"CAROL ANN JOHNSTON"</f>
        <v>CAROL ANN JOHNSTON</v>
      </c>
    </row>
    <row r="623" spans="1:8" x14ac:dyDescent="0.25">
      <c r="A623" t="s">
        <v>185</v>
      </c>
      <c r="B623">
        <v>133293</v>
      </c>
      <c r="C623" s="1">
        <v>40</v>
      </c>
      <c r="D623" s="3">
        <v>44111</v>
      </c>
      <c r="E623" t="str">
        <f>"202010079528"</f>
        <v>202010079528</v>
      </c>
      <c r="F623" t="str">
        <f>"Miscella"</f>
        <v>Miscella</v>
      </c>
      <c r="G623" s="1">
        <v>40</v>
      </c>
      <c r="H623" t="str">
        <f>"CATHERINE G BILBREY"</f>
        <v>CATHERINE G BILBREY</v>
      </c>
    </row>
    <row r="624" spans="1:8" x14ac:dyDescent="0.25">
      <c r="A624" t="s">
        <v>184</v>
      </c>
      <c r="B624">
        <v>133294</v>
      </c>
      <c r="C624" s="1">
        <v>40</v>
      </c>
      <c r="D624" s="3">
        <v>44111</v>
      </c>
      <c r="E624" t="str">
        <f>"202010079529"</f>
        <v>202010079529</v>
      </c>
      <c r="F624" t="str">
        <f>"Miscel"</f>
        <v>Miscel</v>
      </c>
      <c r="G624" s="1">
        <v>40</v>
      </c>
      <c r="H624" t="str">
        <f>"THERESA PSENCIK ZETKA"</f>
        <v>THERESA PSENCIK ZETKA</v>
      </c>
    </row>
    <row r="625" spans="1:8" x14ac:dyDescent="0.25">
      <c r="A625" t="s">
        <v>183</v>
      </c>
      <c r="B625">
        <v>133295</v>
      </c>
      <c r="C625" s="1">
        <v>40</v>
      </c>
      <c r="D625" s="3">
        <v>44111</v>
      </c>
      <c r="E625" t="str">
        <f>"202010079530"</f>
        <v>202010079530</v>
      </c>
      <c r="F625" t="str">
        <f>"Miscellaneo"</f>
        <v>Miscellaneo</v>
      </c>
      <c r="G625" s="1">
        <v>40</v>
      </c>
      <c r="H625" t="str">
        <f>"MARTIN DAVID RAZ"</f>
        <v>MARTIN DAVID RAZ</v>
      </c>
    </row>
    <row r="626" spans="1:8" x14ac:dyDescent="0.25">
      <c r="A626" t="s">
        <v>182</v>
      </c>
      <c r="B626">
        <v>133296</v>
      </c>
      <c r="C626" s="1">
        <v>40</v>
      </c>
      <c r="D626" s="3">
        <v>44111</v>
      </c>
      <c r="E626" t="str">
        <f>"202010079531"</f>
        <v>202010079531</v>
      </c>
      <c r="F626" t="str">
        <f>"Miscella"</f>
        <v>Miscella</v>
      </c>
      <c r="G626" s="1">
        <v>40</v>
      </c>
      <c r="H626" t="str">
        <f>"NOEMI ANDRADE POTTS"</f>
        <v>NOEMI ANDRADE POTTS</v>
      </c>
    </row>
    <row r="627" spans="1:8" x14ac:dyDescent="0.25">
      <c r="A627" t="s">
        <v>181</v>
      </c>
      <c r="B627">
        <v>133297</v>
      </c>
      <c r="C627" s="1">
        <v>40</v>
      </c>
      <c r="D627" s="3">
        <v>44111</v>
      </c>
      <c r="E627" t="str">
        <f>"202010079532"</f>
        <v>202010079532</v>
      </c>
      <c r="F627" t="str">
        <f>"Miscel"</f>
        <v>Miscel</v>
      </c>
      <c r="G627" s="1">
        <v>40</v>
      </c>
      <c r="H627" t="str">
        <f>"JEFFREY SCOTT KUBICEK"</f>
        <v>JEFFREY SCOTT KUBICEK</v>
      </c>
    </row>
    <row r="628" spans="1:8" x14ac:dyDescent="0.25">
      <c r="A628" t="s">
        <v>180</v>
      </c>
      <c r="B628">
        <v>133298</v>
      </c>
      <c r="C628" s="1">
        <v>40</v>
      </c>
      <c r="D628" s="3">
        <v>44111</v>
      </c>
      <c r="E628" t="str">
        <f>"202010079533"</f>
        <v>202010079533</v>
      </c>
      <c r="F628" t="str">
        <f>"Miscellan"</f>
        <v>Miscellan</v>
      </c>
      <c r="G628" s="1">
        <v>40</v>
      </c>
      <c r="H628" t="str">
        <f>"JEFFREY NEIL EWING"</f>
        <v>JEFFREY NEIL EWING</v>
      </c>
    </row>
    <row r="629" spans="1:8" x14ac:dyDescent="0.25">
      <c r="A629" t="s">
        <v>179</v>
      </c>
      <c r="B629">
        <v>133299</v>
      </c>
      <c r="C629" s="1">
        <v>40</v>
      </c>
      <c r="D629" s="3">
        <v>44111</v>
      </c>
      <c r="E629" t="str">
        <f>"202010079534"</f>
        <v>202010079534</v>
      </c>
      <c r="F629" t="str">
        <f>"Miscell"</f>
        <v>Miscell</v>
      </c>
      <c r="G629" s="1">
        <v>40</v>
      </c>
      <c r="H629" t="str">
        <f>"BEATRICE MARY FLIPPO"</f>
        <v>BEATRICE MARY FLIPPO</v>
      </c>
    </row>
    <row r="630" spans="1:8" x14ac:dyDescent="0.25">
      <c r="A630" t="s">
        <v>178</v>
      </c>
      <c r="B630">
        <v>133300</v>
      </c>
      <c r="C630" s="1">
        <v>40</v>
      </c>
      <c r="D630" s="3">
        <v>44111</v>
      </c>
      <c r="E630" t="str">
        <f>"202010079535"</f>
        <v>202010079535</v>
      </c>
      <c r="F630" t="str">
        <f>"Miscell"</f>
        <v>Miscell</v>
      </c>
      <c r="G630" s="1">
        <v>40</v>
      </c>
      <c r="H630" t="str">
        <f>"ERICK RENE RODRIGUEZ"</f>
        <v>ERICK RENE RODRIGUEZ</v>
      </c>
    </row>
    <row r="631" spans="1:8" x14ac:dyDescent="0.25">
      <c r="A631" t="s">
        <v>177</v>
      </c>
      <c r="B631">
        <v>133301</v>
      </c>
      <c r="C631" s="1">
        <v>40</v>
      </c>
      <c r="D631" s="3">
        <v>44111</v>
      </c>
      <c r="E631" t="str">
        <f>"202010079536"</f>
        <v>202010079536</v>
      </c>
      <c r="F631" t="str">
        <f>"Miscel"</f>
        <v>Miscel</v>
      </c>
      <c r="G631" s="1">
        <v>40</v>
      </c>
      <c r="H631" t="str">
        <f>"JESSICA LEON-CIPRIANO"</f>
        <v>JESSICA LEON-CIPRIANO</v>
      </c>
    </row>
    <row r="632" spans="1:8" x14ac:dyDescent="0.25">
      <c r="A632" t="s">
        <v>176</v>
      </c>
      <c r="B632">
        <v>133302</v>
      </c>
      <c r="C632" s="1">
        <v>40</v>
      </c>
      <c r="D632" s="3">
        <v>44111</v>
      </c>
      <c r="E632" t="str">
        <f>"202010079537"</f>
        <v>202010079537</v>
      </c>
      <c r="F632" t="str">
        <f>"Miscell"</f>
        <v>Miscell</v>
      </c>
      <c r="G632" s="1">
        <v>40</v>
      </c>
      <c r="H632" t="str">
        <f>"ARIEL KAITLIN DUFFIN"</f>
        <v>ARIEL KAITLIN DUFFIN</v>
      </c>
    </row>
    <row r="633" spans="1:8" x14ac:dyDescent="0.25">
      <c r="A633" t="s">
        <v>175</v>
      </c>
      <c r="B633">
        <v>133303</v>
      </c>
      <c r="C633" s="1">
        <v>40</v>
      </c>
      <c r="D633" s="3">
        <v>44111</v>
      </c>
      <c r="E633" t="str">
        <f>"202010079538"</f>
        <v>202010079538</v>
      </c>
      <c r="F633" t="str">
        <f>"Miscella"</f>
        <v>Miscella</v>
      </c>
      <c r="G633" s="1">
        <v>40</v>
      </c>
      <c r="H633" t="str">
        <f>"JULIE ANNE RICHARDS"</f>
        <v>JULIE ANNE RICHARDS</v>
      </c>
    </row>
    <row r="634" spans="1:8" x14ac:dyDescent="0.25">
      <c r="A634" t="s">
        <v>174</v>
      </c>
      <c r="B634">
        <v>133489</v>
      </c>
      <c r="C634" s="1">
        <v>21195.31</v>
      </c>
      <c r="D634" s="3">
        <v>44130</v>
      </c>
      <c r="E634" t="str">
        <f>"16122739"</f>
        <v>16122739</v>
      </c>
      <c r="F634" t="str">
        <f>"TRANS #16122739"</f>
        <v>TRANS #16122739</v>
      </c>
      <c r="G634" s="1">
        <v>426</v>
      </c>
      <c r="H634" t="str">
        <f>"TRANS #16122739"</f>
        <v>TRANS #16122739</v>
      </c>
    </row>
    <row r="635" spans="1:8" x14ac:dyDescent="0.25">
      <c r="E635" t="str">
        <f>"8230289415"</f>
        <v>8230289415</v>
      </c>
      <c r="F635" t="str">
        <f>"ACCT#1036215277/RADIO SVC AGRE"</f>
        <v>ACCT#1036215277/RADIO SVC AGRE</v>
      </c>
      <c r="G635" s="1">
        <v>20769.310000000001</v>
      </c>
      <c r="H635" t="str">
        <f>"ACCT#1036215277/RADIO SVC AGRE"</f>
        <v>ACCT#1036215277/RADIO SVC AGRE</v>
      </c>
    </row>
    <row r="636" spans="1:8" x14ac:dyDescent="0.25">
      <c r="A636" t="s">
        <v>173</v>
      </c>
      <c r="B636">
        <v>133490</v>
      </c>
      <c r="C636" s="1">
        <v>575.01</v>
      </c>
      <c r="D636" s="3">
        <v>44130</v>
      </c>
      <c r="E636" t="str">
        <f>"202010219732"</f>
        <v>202010219732</v>
      </c>
      <c r="F636" t="str">
        <f>"INDIGENT HEALTH"</f>
        <v>INDIGENT HEALTH</v>
      </c>
      <c r="G636" s="1">
        <v>575.01</v>
      </c>
      <c r="H636" t="str">
        <f>"INDIGENT HEALTH"</f>
        <v>INDIGENT HEALTH</v>
      </c>
    </row>
    <row r="637" spans="1:8" x14ac:dyDescent="0.25">
      <c r="E637" t="str">
        <f>""</f>
        <v/>
      </c>
      <c r="F637" t="str">
        <f>""</f>
        <v/>
      </c>
      <c r="H637" t="str">
        <f>"INDIGENT HEALTH"</f>
        <v>INDIGENT HEALTH</v>
      </c>
    </row>
    <row r="638" spans="1:8" x14ac:dyDescent="0.25">
      <c r="A638" t="s">
        <v>172</v>
      </c>
      <c r="B638">
        <v>133364</v>
      </c>
      <c r="C638" s="1">
        <v>285</v>
      </c>
      <c r="D638" s="3">
        <v>44117</v>
      </c>
      <c r="E638" t="str">
        <f>"202010019126"</f>
        <v>202010019126</v>
      </c>
      <c r="F638" t="str">
        <f>"REIMBURSE BAIL BOND COUPONS"</f>
        <v>REIMBURSE BAIL BOND COUPONS</v>
      </c>
      <c r="G638" s="1">
        <v>285</v>
      </c>
      <c r="H638" t="str">
        <f>"REIMBURSE BAIL BOND COUPONS"</f>
        <v>REIMBURSE BAIL BOND COUPONS</v>
      </c>
    </row>
    <row r="639" spans="1:8" x14ac:dyDescent="0.25">
      <c r="A639" t="s">
        <v>171</v>
      </c>
      <c r="B639">
        <v>133491</v>
      </c>
      <c r="C639" s="1">
        <v>1914.24</v>
      </c>
      <c r="D639" s="3">
        <v>44130</v>
      </c>
      <c r="E639" t="str">
        <f>"86913613"</f>
        <v>86913613</v>
      </c>
      <c r="F639" t="str">
        <f>"ACCT#150344157/WATER TRMT SVCS"</f>
        <v>ACCT#150344157/WATER TRMT SVCS</v>
      </c>
      <c r="G639" s="1">
        <v>957.12</v>
      </c>
      <c r="H639" t="str">
        <f>"ACCT#150344157/WATER TRMT SVCS"</f>
        <v>ACCT#150344157/WATER TRMT SVCS</v>
      </c>
    </row>
    <row r="640" spans="1:8" x14ac:dyDescent="0.25">
      <c r="E640" t="str">
        <f>"86930501"</f>
        <v>86930501</v>
      </c>
      <c r="F640" t="str">
        <f>"ACCT#150344157/WATER TRMT SVC"</f>
        <v>ACCT#150344157/WATER TRMT SVC</v>
      </c>
      <c r="G640" s="1">
        <v>957.12</v>
      </c>
      <c r="H640" t="str">
        <f>"ACCT#150344157/WATER TRMT SVC"</f>
        <v>ACCT#150344157/WATER TRMT SVC</v>
      </c>
    </row>
    <row r="641" spans="1:8" x14ac:dyDescent="0.25">
      <c r="A641" t="s">
        <v>170</v>
      </c>
      <c r="B641">
        <v>133492</v>
      </c>
      <c r="C641" s="1">
        <v>25</v>
      </c>
      <c r="D641" s="3">
        <v>44130</v>
      </c>
      <c r="E641" t="str">
        <f>"202010199626"</f>
        <v>202010199626</v>
      </c>
      <c r="F641" t="str">
        <f>"REFUND DRIVEWAY PERMIT"</f>
        <v>REFUND DRIVEWAY PERMIT</v>
      </c>
      <c r="G641" s="1">
        <v>25</v>
      </c>
      <c r="H641" t="str">
        <f>"REFUND DRIVEWAY PERMIT"</f>
        <v>REFUND DRIVEWAY PERMIT</v>
      </c>
    </row>
    <row r="642" spans="1:8" x14ac:dyDescent="0.25">
      <c r="A642" t="s">
        <v>169</v>
      </c>
      <c r="B642">
        <v>3318</v>
      </c>
      <c r="C642" s="1">
        <v>3275</v>
      </c>
      <c r="D642" s="3">
        <v>44118</v>
      </c>
      <c r="E642" t="str">
        <f>"IN0847243 CM091191"</f>
        <v>IN0847243 CM091191</v>
      </c>
      <c r="F642" t="str">
        <f>"INV IN0847243"</f>
        <v>INV IN0847243</v>
      </c>
      <c r="G642" s="1">
        <v>3275</v>
      </c>
      <c r="H642" t="str">
        <f>"INV IN0847243"</f>
        <v>INV IN0847243</v>
      </c>
    </row>
    <row r="643" spans="1:8" x14ac:dyDescent="0.25">
      <c r="E643" t="str">
        <f>""</f>
        <v/>
      </c>
      <c r="F643" t="str">
        <f>""</f>
        <v/>
      </c>
      <c r="H643" t="str">
        <f>"CM 0911919"</f>
        <v>CM 0911919</v>
      </c>
    </row>
    <row r="644" spans="1:8" x14ac:dyDescent="0.25">
      <c r="A644" t="s">
        <v>169</v>
      </c>
      <c r="B644">
        <v>3385</v>
      </c>
      <c r="C644" s="1">
        <v>13848.8</v>
      </c>
      <c r="D644" s="3">
        <v>44131</v>
      </c>
      <c r="E644" t="str">
        <f>"IN0846802"</f>
        <v>IN0846802</v>
      </c>
      <c r="F644" t="str">
        <f>"INV IN0846802"</f>
        <v>INV IN0846802</v>
      </c>
      <c r="G644" s="1">
        <v>3326.25</v>
      </c>
      <c r="H644" t="str">
        <f>"INV IN0846802"</f>
        <v>INV IN0846802</v>
      </c>
    </row>
    <row r="645" spans="1:8" x14ac:dyDescent="0.25">
      <c r="E645" t="str">
        <f>"IN0848359 IN084827"</f>
        <v>IN0848359 IN084827</v>
      </c>
      <c r="F645" t="str">
        <f>"INV IN0848359"</f>
        <v>INV IN0848359</v>
      </c>
      <c r="G645" s="1">
        <v>10522.55</v>
      </c>
      <c r="H645" t="str">
        <f>"INV IN0848359"</f>
        <v>INV IN0848359</v>
      </c>
    </row>
    <row r="646" spans="1:8" x14ac:dyDescent="0.25">
      <c r="E646" t="str">
        <f>""</f>
        <v/>
      </c>
      <c r="F646" t="str">
        <f>""</f>
        <v/>
      </c>
      <c r="H646" t="str">
        <f>"INV IN0848275"</f>
        <v>INV IN0848275</v>
      </c>
    </row>
    <row r="647" spans="1:8" x14ac:dyDescent="0.25">
      <c r="A647" t="s">
        <v>168</v>
      </c>
      <c r="B647">
        <v>133493</v>
      </c>
      <c r="C647" s="1">
        <v>4796</v>
      </c>
      <c r="D647" s="3">
        <v>44130</v>
      </c>
      <c r="E647" t="str">
        <f>"10113"</f>
        <v>10113</v>
      </c>
      <c r="F647" t="str">
        <f>"Hardware"</f>
        <v>Hardware</v>
      </c>
      <c r="G647" s="1">
        <v>4796</v>
      </c>
      <c r="H647" t="str">
        <f>"Invoice #10113"</f>
        <v>Invoice #10113</v>
      </c>
    </row>
    <row r="648" spans="1:8" x14ac:dyDescent="0.25">
      <c r="A648" t="s">
        <v>167</v>
      </c>
      <c r="B648">
        <v>133494</v>
      </c>
      <c r="C648" s="1">
        <v>2919</v>
      </c>
      <c r="D648" s="3">
        <v>44130</v>
      </c>
      <c r="E648" t="str">
        <f>"403371S"</f>
        <v>403371S</v>
      </c>
      <c r="F648" t="str">
        <f>"RO#403180S/PCT#1"</f>
        <v>RO#403180S/PCT#1</v>
      </c>
      <c r="G648" s="1">
        <v>1459.5</v>
      </c>
      <c r="H648" t="str">
        <f>"RO#403180S/PCT#1"</f>
        <v>RO#403180S/PCT#1</v>
      </c>
    </row>
    <row r="649" spans="1:8" x14ac:dyDescent="0.25">
      <c r="E649" t="str">
        <f>"403371S-P2"</f>
        <v>403371S-P2</v>
      </c>
      <c r="F649" t="str">
        <f>"RO#403180S/PCT#2"</f>
        <v>RO#403180S/PCT#2</v>
      </c>
      <c r="G649" s="1">
        <v>1459.5</v>
      </c>
      <c r="H649" t="str">
        <f>"RO#403180S/PCT#2"</f>
        <v>RO#403180S/PCT#2</v>
      </c>
    </row>
    <row r="650" spans="1:8" x14ac:dyDescent="0.25">
      <c r="A650" t="s">
        <v>166</v>
      </c>
      <c r="B650">
        <v>3376</v>
      </c>
      <c r="C650" s="1">
        <v>114.84</v>
      </c>
      <c r="D650" s="3">
        <v>44118</v>
      </c>
      <c r="E650" t="str">
        <f>"202010079507"</f>
        <v>202010079507</v>
      </c>
      <c r="F650" t="str">
        <f>"CUST#1772018/PCT#1"</f>
        <v>CUST#1772018/PCT#1</v>
      </c>
      <c r="G650" s="1">
        <v>114.84</v>
      </c>
      <c r="H650" t="str">
        <f>"CUST#1772018/PCT#1"</f>
        <v>CUST#1772018/PCT#1</v>
      </c>
    </row>
    <row r="651" spans="1:8" x14ac:dyDescent="0.25">
      <c r="A651" t="s">
        <v>166</v>
      </c>
      <c r="B651">
        <v>3450</v>
      </c>
      <c r="C651" s="1">
        <v>73.5</v>
      </c>
      <c r="D651" s="3">
        <v>44131</v>
      </c>
      <c r="E651" t="str">
        <f>"0581-217180"</f>
        <v>0581-217180</v>
      </c>
      <c r="F651" t="str">
        <f>"INV 0581-217180"</f>
        <v>INV 0581-217180</v>
      </c>
      <c r="G651" s="1">
        <v>73.5</v>
      </c>
      <c r="H651" t="str">
        <f>"INV 0581-217180"</f>
        <v>INV 0581-217180</v>
      </c>
    </row>
    <row r="652" spans="1:8" x14ac:dyDescent="0.25">
      <c r="A652" t="s">
        <v>165</v>
      </c>
      <c r="B652">
        <v>133495</v>
      </c>
      <c r="C652" s="1">
        <v>2874.86</v>
      </c>
      <c r="D652" s="3">
        <v>44130</v>
      </c>
      <c r="E652" t="str">
        <f>"16163978"</f>
        <v>16163978</v>
      </c>
      <c r="F652" t="str">
        <f>"Statement"</f>
        <v>Statement</v>
      </c>
      <c r="G652" s="1">
        <v>2027.65</v>
      </c>
      <c r="H652" t="str">
        <f>"125904909001"</f>
        <v>125904909001</v>
      </c>
    </row>
    <row r="653" spans="1:8" x14ac:dyDescent="0.25">
      <c r="E653" t="str">
        <f>""</f>
        <v/>
      </c>
      <c r="F653" t="str">
        <f>""</f>
        <v/>
      </c>
      <c r="H653" t="str">
        <f>"126445461001"</f>
        <v>126445461001</v>
      </c>
    </row>
    <row r="654" spans="1:8" x14ac:dyDescent="0.25">
      <c r="E654" t="str">
        <f>""</f>
        <v/>
      </c>
      <c r="F654" t="str">
        <f>""</f>
        <v/>
      </c>
      <c r="H654" t="str">
        <f>"126521343001"</f>
        <v>126521343001</v>
      </c>
    </row>
    <row r="655" spans="1:8" x14ac:dyDescent="0.25">
      <c r="E655" t="str">
        <f>""</f>
        <v/>
      </c>
      <c r="F655" t="str">
        <f>""</f>
        <v/>
      </c>
      <c r="H655" t="str">
        <f>"125869892001"</f>
        <v>125869892001</v>
      </c>
    </row>
    <row r="656" spans="1:8" x14ac:dyDescent="0.25">
      <c r="E656" t="str">
        <f>""</f>
        <v/>
      </c>
      <c r="F656" t="str">
        <f>""</f>
        <v/>
      </c>
      <c r="H656" t="str">
        <f>"126197269001"</f>
        <v>126197269001</v>
      </c>
    </row>
    <row r="657" spans="5:8" x14ac:dyDescent="0.25">
      <c r="E657" t="str">
        <f>""</f>
        <v/>
      </c>
      <c r="F657" t="str">
        <f>""</f>
        <v/>
      </c>
      <c r="H657" t="str">
        <f>"126340678001"</f>
        <v>126340678001</v>
      </c>
    </row>
    <row r="658" spans="5:8" x14ac:dyDescent="0.25">
      <c r="E658" t="str">
        <f>""</f>
        <v/>
      </c>
      <c r="F658" t="str">
        <f>""</f>
        <v/>
      </c>
      <c r="H658" t="str">
        <f>"126763131001"</f>
        <v>126763131001</v>
      </c>
    </row>
    <row r="659" spans="5:8" x14ac:dyDescent="0.25">
      <c r="E659" t="str">
        <f>""</f>
        <v/>
      </c>
      <c r="F659" t="str">
        <f>""</f>
        <v/>
      </c>
      <c r="H659" t="str">
        <f>"126765129001"</f>
        <v>126765129001</v>
      </c>
    </row>
    <row r="660" spans="5:8" x14ac:dyDescent="0.25">
      <c r="E660" t="str">
        <f>"16287022"</f>
        <v>16287022</v>
      </c>
      <c r="F660" t="str">
        <f>"Statement"</f>
        <v>Statement</v>
      </c>
      <c r="G660" s="1">
        <v>847.21</v>
      </c>
      <c r="H660" t="str">
        <f>"129944441001"</f>
        <v>129944441001</v>
      </c>
    </row>
    <row r="661" spans="5:8" x14ac:dyDescent="0.25">
      <c r="E661" t="str">
        <f>""</f>
        <v/>
      </c>
      <c r="F661" t="str">
        <f>""</f>
        <v/>
      </c>
      <c r="H661" t="str">
        <f>"130864185001"</f>
        <v>130864185001</v>
      </c>
    </row>
    <row r="662" spans="5:8" x14ac:dyDescent="0.25">
      <c r="E662" t="str">
        <f>""</f>
        <v/>
      </c>
      <c r="F662" t="str">
        <f>""</f>
        <v/>
      </c>
      <c r="H662" t="str">
        <f>"130895736001"</f>
        <v>130895736001</v>
      </c>
    </row>
    <row r="663" spans="5:8" x14ac:dyDescent="0.25">
      <c r="E663" t="str">
        <f>""</f>
        <v/>
      </c>
      <c r="F663" t="str">
        <f>""</f>
        <v/>
      </c>
      <c r="H663" t="str">
        <f>"130556668001"</f>
        <v>130556668001</v>
      </c>
    </row>
    <row r="664" spans="5:8" x14ac:dyDescent="0.25">
      <c r="E664" t="str">
        <f>""</f>
        <v/>
      </c>
      <c r="F664" t="str">
        <f>""</f>
        <v/>
      </c>
      <c r="H664" t="str">
        <f>"127632825001"</f>
        <v>127632825001</v>
      </c>
    </row>
    <row r="665" spans="5:8" x14ac:dyDescent="0.25">
      <c r="E665" t="str">
        <f>""</f>
        <v/>
      </c>
      <c r="F665" t="str">
        <f>""</f>
        <v/>
      </c>
      <c r="H665" t="str">
        <f>"127704679001"</f>
        <v>127704679001</v>
      </c>
    </row>
    <row r="666" spans="5:8" x14ac:dyDescent="0.25">
      <c r="E666" t="str">
        <f>""</f>
        <v/>
      </c>
      <c r="F666" t="str">
        <f>""</f>
        <v/>
      </c>
      <c r="H666" t="str">
        <f>"129272438001"</f>
        <v>129272438001</v>
      </c>
    </row>
    <row r="667" spans="5:8" x14ac:dyDescent="0.25">
      <c r="E667" t="str">
        <f>""</f>
        <v/>
      </c>
      <c r="F667" t="str">
        <f>""</f>
        <v/>
      </c>
      <c r="H667" t="str">
        <f>"129313144001"</f>
        <v>129313144001</v>
      </c>
    </row>
    <row r="668" spans="5:8" x14ac:dyDescent="0.25">
      <c r="E668" t="str">
        <f>""</f>
        <v/>
      </c>
      <c r="F668" t="str">
        <f>""</f>
        <v/>
      </c>
      <c r="H668" t="str">
        <f>"127376186001"</f>
        <v>127376186001</v>
      </c>
    </row>
    <row r="669" spans="5:8" x14ac:dyDescent="0.25">
      <c r="E669" t="str">
        <f>""</f>
        <v/>
      </c>
      <c r="F669" t="str">
        <f>""</f>
        <v/>
      </c>
      <c r="H669" t="str">
        <f>"127379645001"</f>
        <v>127379645001</v>
      </c>
    </row>
    <row r="670" spans="5:8" x14ac:dyDescent="0.25">
      <c r="E670" t="str">
        <f>""</f>
        <v/>
      </c>
      <c r="F670" t="str">
        <f>""</f>
        <v/>
      </c>
      <c r="H670" t="str">
        <f>"127379647001"</f>
        <v>127379647001</v>
      </c>
    </row>
    <row r="671" spans="5:8" x14ac:dyDescent="0.25">
      <c r="E671" t="str">
        <f>""</f>
        <v/>
      </c>
      <c r="F671" t="str">
        <f>""</f>
        <v/>
      </c>
      <c r="H671" t="str">
        <f>"127379685001"</f>
        <v>127379685001</v>
      </c>
    </row>
    <row r="672" spans="5:8" x14ac:dyDescent="0.25">
      <c r="E672" t="str">
        <f>""</f>
        <v/>
      </c>
      <c r="F672" t="str">
        <f>""</f>
        <v/>
      </c>
      <c r="H672" t="str">
        <f>"127379685002"</f>
        <v>127379685002</v>
      </c>
    </row>
    <row r="673" spans="1:8" x14ac:dyDescent="0.25">
      <c r="A673" t="s">
        <v>164</v>
      </c>
      <c r="B673">
        <v>133496</v>
      </c>
      <c r="C673" s="1">
        <v>3662</v>
      </c>
      <c r="D673" s="3">
        <v>44130</v>
      </c>
      <c r="E673" t="str">
        <f>"320-001011"</f>
        <v>320-001011</v>
      </c>
      <c r="F673" t="str">
        <f>"3RD QTR ACTIVITY 2020/PCT#1"</f>
        <v>3RD QTR ACTIVITY 2020/PCT#1</v>
      </c>
      <c r="G673" s="1">
        <v>1250</v>
      </c>
      <c r="H673" t="str">
        <f>"3RD QTR ACTIVITY 2020/PCT#1"</f>
        <v>3RD QTR ACTIVITY 2020/PCT#1</v>
      </c>
    </row>
    <row r="674" spans="1:8" x14ac:dyDescent="0.25">
      <c r="E674" t="str">
        <f>"320-002011"</f>
        <v>320-002011</v>
      </c>
      <c r="F674" t="str">
        <f>"3RD QTR ACTIVITY 2020/PCT#2"</f>
        <v>3RD QTR ACTIVITY 2020/PCT#2</v>
      </c>
      <c r="G674" s="1">
        <v>942</v>
      </c>
      <c r="H674" t="str">
        <f>"3RD QTR ACTIVITY 2020/PCT#2"</f>
        <v>3RD QTR ACTIVITY 2020/PCT#2</v>
      </c>
    </row>
    <row r="675" spans="1:8" x14ac:dyDescent="0.25">
      <c r="E675" t="str">
        <f>"320-003011"</f>
        <v>320-003011</v>
      </c>
      <c r="F675" t="str">
        <f>"3RD QTR ACTIVITY 2020/PCT3"</f>
        <v>3RD QTR ACTIVITY 2020/PCT3</v>
      </c>
      <c r="G675" s="1">
        <v>942</v>
      </c>
      <c r="H675" t="str">
        <f>"3RD QTR ACTIVITY 2020/PCT3"</f>
        <v>3RD QTR ACTIVITY 2020/PCT3</v>
      </c>
    </row>
    <row r="676" spans="1:8" x14ac:dyDescent="0.25">
      <c r="E676" t="str">
        <f>"320-004011"</f>
        <v>320-004011</v>
      </c>
      <c r="F676" t="str">
        <f>"3RD QTR ACTIVITY 2020/PCT4"</f>
        <v>3RD QTR ACTIVITY 2020/PCT4</v>
      </c>
      <c r="G676" s="1">
        <v>486</v>
      </c>
      <c r="H676" t="str">
        <f>"3RD QTR ACTIVITY 2020/PCT4"</f>
        <v>3RD QTR ACTIVITY 2020/PCT4</v>
      </c>
    </row>
    <row r="677" spans="1:8" x14ac:dyDescent="0.25">
      <c r="E677" t="str">
        <f>"320-007011"</f>
        <v>320-007011</v>
      </c>
      <c r="F677" t="str">
        <f>"3RD QTR ACTIVITY 2020/COLLECTI"</f>
        <v>3RD QTR ACTIVITY 2020/COLLECTI</v>
      </c>
      <c r="G677" s="1">
        <v>6</v>
      </c>
      <c r="H677" t="str">
        <f>"3RD QTR ACTIVITY 2020/COLLECTI"</f>
        <v>3RD QTR ACTIVITY 2020/COLLECTI</v>
      </c>
    </row>
    <row r="678" spans="1:8" x14ac:dyDescent="0.25">
      <c r="E678" t="str">
        <f>"320-008011"</f>
        <v>320-008011</v>
      </c>
      <c r="F678" t="str">
        <f>"3RD QTR ACTIVITY 2020/MISDEMEA"</f>
        <v>3RD QTR ACTIVITY 2020/MISDEMEA</v>
      </c>
      <c r="G678" s="1">
        <v>30</v>
      </c>
      <c r="H678" t="str">
        <f>"3RD QTR ACTIVITY 2020/MISDEMEA"</f>
        <v>3RD QTR ACTIVITY 2020/MISDEMEA</v>
      </c>
    </row>
    <row r="679" spans="1:8" x14ac:dyDescent="0.25">
      <c r="E679" t="str">
        <f>"320-009011"</f>
        <v>320-009011</v>
      </c>
      <c r="F679" t="str">
        <f>"3RD QTR ACTIVITY 2020/DIST CLK"</f>
        <v>3RD QTR ACTIVITY 2020/DIST CLK</v>
      </c>
      <c r="G679" s="1">
        <v>6</v>
      </c>
      <c r="H679" t="str">
        <f>"3RD QTR ACTIVITY 2020/DIST CLK"</f>
        <v>3RD QTR ACTIVITY 2020/DIST CLK</v>
      </c>
    </row>
    <row r="680" spans="1:8" x14ac:dyDescent="0.25">
      <c r="A680" t="s">
        <v>163</v>
      </c>
      <c r="B680">
        <v>133365</v>
      </c>
      <c r="C680" s="1">
        <v>50</v>
      </c>
      <c r="D680" s="3">
        <v>44117</v>
      </c>
      <c r="E680" t="str">
        <f>"287949"</f>
        <v>287949</v>
      </c>
      <c r="F680" t="str">
        <f>"CUST ID:BASCOU/GEN SVCS"</f>
        <v>CUST ID:BASCOU/GEN SVCS</v>
      </c>
      <c r="G680" s="1">
        <v>50</v>
      </c>
      <c r="H680" t="str">
        <f>"CUST ID:BASCOU/GEN SVCS"</f>
        <v>CUST ID:BASCOU/GEN SVCS</v>
      </c>
    </row>
    <row r="681" spans="1:8" x14ac:dyDescent="0.25">
      <c r="A681" t="s">
        <v>162</v>
      </c>
      <c r="B681">
        <v>3437</v>
      </c>
      <c r="C681" s="1">
        <v>168</v>
      </c>
      <c r="D681" s="3">
        <v>44131</v>
      </c>
      <c r="E681" t="str">
        <f>"2136"</f>
        <v>2136</v>
      </c>
      <c r="F681" t="str">
        <f>"PLUMBING SVCS/5535 FM 535"</f>
        <v>PLUMBING SVCS/5535 FM 535</v>
      </c>
      <c r="G681" s="1">
        <v>168</v>
      </c>
      <c r="H681" t="str">
        <f>"PLUMBING SVCS/5535 FM 535"</f>
        <v>PLUMBING SVCS/5535 FM 535</v>
      </c>
    </row>
    <row r="682" spans="1:8" x14ac:dyDescent="0.25">
      <c r="A682" t="s">
        <v>161</v>
      </c>
      <c r="B682">
        <v>3319</v>
      </c>
      <c r="C682" s="1">
        <v>15910.18</v>
      </c>
      <c r="D682" s="3">
        <v>44118</v>
      </c>
      <c r="E682" t="str">
        <f>"20479"</f>
        <v>20479</v>
      </c>
      <c r="F682" t="str">
        <f>"STABILIZER ASPHALT EMULSION/P2"</f>
        <v>STABILIZER ASPHALT EMULSION/P2</v>
      </c>
      <c r="G682" s="1">
        <v>15910.18</v>
      </c>
      <c r="H682" t="str">
        <f>"STABILIZER ASPHALT EMULSION/P2"</f>
        <v>STABILIZER ASPHALT EMULSION/P2</v>
      </c>
    </row>
    <row r="683" spans="1:8" x14ac:dyDescent="0.25">
      <c r="A683" t="s">
        <v>160</v>
      </c>
      <c r="B683">
        <v>133497</v>
      </c>
      <c r="C683" s="1">
        <v>368.82</v>
      </c>
      <c r="D683" s="3">
        <v>44130</v>
      </c>
      <c r="E683" t="str">
        <f>"78521"</f>
        <v>78521</v>
      </c>
      <c r="F683" t="str">
        <f>"PARTS/PCT#1"</f>
        <v>PARTS/PCT#1</v>
      </c>
      <c r="G683" s="1">
        <v>368.82</v>
      </c>
      <c r="H683" t="str">
        <f>"PARTS/PCT#1"</f>
        <v>PARTS/PCT#1</v>
      </c>
    </row>
    <row r="684" spans="1:8" x14ac:dyDescent="0.25">
      <c r="A684" t="s">
        <v>159</v>
      </c>
      <c r="B684">
        <v>3351</v>
      </c>
      <c r="C684" s="1">
        <v>145</v>
      </c>
      <c r="D684" s="3">
        <v>44118</v>
      </c>
      <c r="E684" t="str">
        <f>"0000053679"</f>
        <v>0000053679</v>
      </c>
      <c r="F684" t="str">
        <f>"INV 0000053679"</f>
        <v>INV 0000053679</v>
      </c>
      <c r="G684" s="1">
        <v>145</v>
      </c>
      <c r="H684" t="str">
        <f>"INV 0000053679"</f>
        <v>INV 0000053679</v>
      </c>
    </row>
    <row r="685" spans="1:8" x14ac:dyDescent="0.25">
      <c r="A685" t="s">
        <v>158</v>
      </c>
      <c r="B685">
        <v>133366</v>
      </c>
      <c r="C685" s="1">
        <v>259.38</v>
      </c>
      <c r="D685" s="3">
        <v>44117</v>
      </c>
      <c r="E685" t="str">
        <f>"202010069471"</f>
        <v>202010069471</v>
      </c>
      <c r="F685" t="str">
        <f>"ACCT#1137/PCT#4"</f>
        <v>ACCT#1137/PCT#4</v>
      </c>
      <c r="G685" s="1">
        <v>259.38</v>
      </c>
      <c r="H685" t="str">
        <f>"ACCT#1137/PCT#4"</f>
        <v>ACCT#1137/PCT#4</v>
      </c>
    </row>
    <row r="686" spans="1:8" x14ac:dyDescent="0.25">
      <c r="A686" t="s">
        <v>157</v>
      </c>
      <c r="B686">
        <v>3389</v>
      </c>
      <c r="C686" s="1">
        <v>330</v>
      </c>
      <c r="D686" s="3">
        <v>44131</v>
      </c>
      <c r="E686" t="str">
        <f>"PWS569"</f>
        <v>PWS569</v>
      </c>
      <c r="F686" t="str">
        <f>"INV PWS569"</f>
        <v>INV PWS569</v>
      </c>
      <c r="G686" s="1">
        <v>330</v>
      </c>
      <c r="H686" t="str">
        <f>"INV PWS569"</f>
        <v>INV PWS569</v>
      </c>
    </row>
    <row r="687" spans="1:8" x14ac:dyDescent="0.25">
      <c r="A687" t="s">
        <v>156</v>
      </c>
      <c r="B687">
        <v>133498</v>
      </c>
      <c r="C687" s="1">
        <v>834.12</v>
      </c>
      <c r="D687" s="3">
        <v>44130</v>
      </c>
      <c r="E687" t="str">
        <f>"202010149588"</f>
        <v>202010149588</v>
      </c>
      <c r="F687" t="str">
        <f>"ACCT#0200140783/ANIMAL CONTROL"</f>
        <v>ACCT#0200140783/ANIMAL CONTROL</v>
      </c>
      <c r="G687" s="1">
        <v>834.12</v>
      </c>
      <c r="H687" t="str">
        <f>"ACCT#0200140783/ANIMAL CONTROL"</f>
        <v>ACCT#0200140783/ANIMAL CONTROL</v>
      </c>
    </row>
    <row r="688" spans="1:8" x14ac:dyDescent="0.25">
      <c r="E688" t="str">
        <f>""</f>
        <v/>
      </c>
      <c r="F688" t="str">
        <f>""</f>
        <v/>
      </c>
      <c r="H688" t="str">
        <f>"ACCT#0200140783/ANIMAL CONTROL"</f>
        <v>ACCT#0200140783/ANIMAL CONTROL</v>
      </c>
    </row>
    <row r="689" spans="1:8" x14ac:dyDescent="0.25">
      <c r="E689" t="str">
        <f>""</f>
        <v/>
      </c>
      <c r="F689" t="str">
        <f>""</f>
        <v/>
      </c>
      <c r="H689" t="str">
        <f>"ACCT#0200140783/ANIMAL CONTROL"</f>
        <v>ACCT#0200140783/ANIMAL CONTROL</v>
      </c>
    </row>
    <row r="690" spans="1:8" x14ac:dyDescent="0.25">
      <c r="A690" t="s">
        <v>155</v>
      </c>
      <c r="B690">
        <v>3324</v>
      </c>
      <c r="C690" s="1">
        <v>474.5</v>
      </c>
      <c r="D690" s="3">
        <v>44118</v>
      </c>
      <c r="E690" t="str">
        <f>"202010069474"</f>
        <v>202010069474</v>
      </c>
      <c r="F690" t="str">
        <f>"TRASH REMOVAL SEP28-29/PCT#4"</f>
        <v>TRASH REMOVAL SEP28-29/PCT#4</v>
      </c>
      <c r="G690" s="1">
        <v>169</v>
      </c>
      <c r="H690" t="str">
        <f>"TRASH REMOVAL SEP28-29/PCT#4"</f>
        <v>TRASH REMOVAL SEP28-29/PCT#4</v>
      </c>
    </row>
    <row r="691" spans="1:8" x14ac:dyDescent="0.25">
      <c r="E691" t="str">
        <f>"202010069475"</f>
        <v>202010069475</v>
      </c>
      <c r="F691" t="str">
        <f>"TRASH REMOVAL OCT1-8/PCT#4"</f>
        <v>TRASH REMOVAL OCT1-8/PCT#4</v>
      </c>
      <c r="G691" s="1">
        <v>305.5</v>
      </c>
      <c r="H691" t="str">
        <f>"TRASH REMOVAL OCT1-8/PCT#4"</f>
        <v>TRASH REMOVAL OCT1-8/PCT#4</v>
      </c>
    </row>
    <row r="692" spans="1:8" x14ac:dyDescent="0.25">
      <c r="A692" t="s">
        <v>155</v>
      </c>
      <c r="B692">
        <v>3393</v>
      </c>
      <c r="C692" s="1">
        <v>546</v>
      </c>
      <c r="D692" s="3">
        <v>44131</v>
      </c>
      <c r="E692" t="str">
        <f>"202010219754"</f>
        <v>202010219754</v>
      </c>
      <c r="F692" t="str">
        <f>"TRASH REMOVAL 10/12-10/22/P4"</f>
        <v>TRASH REMOVAL 10/12-10/22/P4</v>
      </c>
      <c r="G692" s="1">
        <v>546</v>
      </c>
      <c r="H692" t="str">
        <f>"TRASH REMOVAL 10/12-10/22/P4"</f>
        <v>TRASH REMOVAL 10/12-10/22/P4</v>
      </c>
    </row>
    <row r="693" spans="1:8" x14ac:dyDescent="0.25">
      <c r="A693" t="s">
        <v>154</v>
      </c>
      <c r="B693">
        <v>133499</v>
      </c>
      <c r="C693" s="1">
        <v>40261.589999999997</v>
      </c>
      <c r="D693" s="3">
        <v>44130</v>
      </c>
      <c r="E693" t="str">
        <f>"IVC00055027"</f>
        <v>IVC00055027</v>
      </c>
      <c r="F693" t="str">
        <f>"PROF SVCS JUL-SEP2020/JP1"</f>
        <v>PROF SVCS JUL-SEP2020/JP1</v>
      </c>
      <c r="G693" s="1">
        <v>4476.5200000000004</v>
      </c>
      <c r="H693" t="str">
        <f>"ATTORNEY FEES 07/01-09/30/2020"</f>
        <v>ATTORNEY FEES 07/01-09/30/2020</v>
      </c>
    </row>
    <row r="694" spans="1:8" x14ac:dyDescent="0.25">
      <c r="E694" t="str">
        <f>"IVC00055028"</f>
        <v>IVC00055028</v>
      </c>
      <c r="F694" t="str">
        <f>"PROF SVCS JUL-SEPT2020/JP2"</f>
        <v>PROF SVCS JUL-SEPT2020/JP2</v>
      </c>
      <c r="G694" s="1">
        <v>15404.93</v>
      </c>
      <c r="H694" t="str">
        <f>"ATT FEES/PROF SVCS JUL-SEPT'20"</f>
        <v>ATT FEES/PROF SVCS JUL-SEPT'20</v>
      </c>
    </row>
    <row r="695" spans="1:8" x14ac:dyDescent="0.25">
      <c r="E695" t="str">
        <f>"IVC00055029"</f>
        <v>IVC00055029</v>
      </c>
      <c r="F695" t="str">
        <f>"PROF SVCS JUL-SEPT2020/JP3"</f>
        <v>PROF SVCS JUL-SEPT2020/JP3</v>
      </c>
      <c r="G695" s="1">
        <v>9113.43</v>
      </c>
      <c r="H695" t="str">
        <f>"PROF SVCS JUL-SEPT2020/JP3"</f>
        <v>PROF SVCS JUL-SEPT2020/JP3</v>
      </c>
    </row>
    <row r="696" spans="1:8" x14ac:dyDescent="0.25">
      <c r="E696" t="str">
        <f>"IVC00055031"</f>
        <v>IVC00055031</v>
      </c>
      <c r="F696" t="str">
        <f>"PROF SVCS JUL-SEPT2020/JP4"</f>
        <v>PROF SVCS JUL-SEPT2020/JP4</v>
      </c>
      <c r="G696" s="1">
        <v>11266.71</v>
      </c>
      <c r="H696" t="str">
        <f>"PROF SVCS JUL-SEPT2020/JP4"</f>
        <v>PROF SVCS JUL-SEPT2020/JP4</v>
      </c>
    </row>
    <row r="697" spans="1:8" x14ac:dyDescent="0.25">
      <c r="A697" t="s">
        <v>153</v>
      </c>
      <c r="B697">
        <v>3366</v>
      </c>
      <c r="C697" s="1">
        <v>1225</v>
      </c>
      <c r="D697" s="3">
        <v>44118</v>
      </c>
      <c r="E697" t="str">
        <f>"202010059337"</f>
        <v>202010059337</v>
      </c>
      <c r="F697" t="str">
        <f>"JP101162020B"</f>
        <v>JP101162020B</v>
      </c>
      <c r="G697" s="1">
        <v>250</v>
      </c>
      <c r="H697" t="str">
        <f>"JP101162020B"</f>
        <v>JP101162020B</v>
      </c>
    </row>
    <row r="698" spans="1:8" x14ac:dyDescent="0.25">
      <c r="E698" t="str">
        <f>"202010059338"</f>
        <v>202010059338</v>
      </c>
      <c r="F698" t="str">
        <f>"4042620.2"</f>
        <v>4042620.2</v>
      </c>
      <c r="G698" s="1">
        <v>250</v>
      </c>
      <c r="H698" t="str">
        <f>"4042620.2"</f>
        <v>4042620.2</v>
      </c>
    </row>
    <row r="699" spans="1:8" x14ac:dyDescent="0.25">
      <c r="E699" t="str">
        <f>"202010069488"</f>
        <v>202010069488</v>
      </c>
      <c r="F699" t="str">
        <f>"20-20415"</f>
        <v>20-20415</v>
      </c>
      <c r="G699" s="1">
        <v>235</v>
      </c>
      <c r="H699" t="str">
        <f>"20-20415"</f>
        <v>20-20415</v>
      </c>
    </row>
    <row r="700" spans="1:8" x14ac:dyDescent="0.25">
      <c r="E700" t="str">
        <f>"202010069489"</f>
        <v>202010069489</v>
      </c>
      <c r="F700" t="str">
        <f>"20-20394"</f>
        <v>20-20394</v>
      </c>
      <c r="G700" s="1">
        <v>490</v>
      </c>
      <c r="H700" t="str">
        <f>"20-20394"</f>
        <v>20-20394</v>
      </c>
    </row>
    <row r="701" spans="1:8" x14ac:dyDescent="0.25">
      <c r="A701" t="s">
        <v>153</v>
      </c>
      <c r="B701">
        <v>3438</v>
      </c>
      <c r="C701" s="1">
        <v>250</v>
      </c>
      <c r="D701" s="3">
        <v>44131</v>
      </c>
      <c r="E701" t="str">
        <f>"202010209698"</f>
        <v>202010209698</v>
      </c>
      <c r="F701" t="str">
        <f>"J-3227"</f>
        <v>J-3227</v>
      </c>
      <c r="G701" s="1">
        <v>250</v>
      </c>
      <c r="H701" t="str">
        <f>"J-3227"</f>
        <v>J-3227</v>
      </c>
    </row>
    <row r="702" spans="1:8" x14ac:dyDescent="0.25">
      <c r="A702" t="s">
        <v>152</v>
      </c>
      <c r="B702">
        <v>133367</v>
      </c>
      <c r="C702" s="1">
        <v>250</v>
      </c>
      <c r="D702" s="3">
        <v>44117</v>
      </c>
      <c r="E702" t="str">
        <f>"202010059339"</f>
        <v>202010059339</v>
      </c>
      <c r="F702" t="str">
        <f>"56 169"</f>
        <v>56 169</v>
      </c>
      <c r="G702" s="1">
        <v>250</v>
      </c>
      <c r="H702" t="str">
        <f>"56 169"</f>
        <v>56 169</v>
      </c>
    </row>
    <row r="703" spans="1:8" x14ac:dyDescent="0.25">
      <c r="A703" t="s">
        <v>152</v>
      </c>
      <c r="B703">
        <v>133500</v>
      </c>
      <c r="C703" s="1">
        <v>250</v>
      </c>
      <c r="D703" s="3">
        <v>44130</v>
      </c>
      <c r="E703" t="str">
        <f>"202010209699"</f>
        <v>202010209699</v>
      </c>
      <c r="F703" t="str">
        <f>"57 235"</f>
        <v>57 235</v>
      </c>
      <c r="G703" s="1">
        <v>250</v>
      </c>
      <c r="H703" t="str">
        <f>"57 235"</f>
        <v>57 235</v>
      </c>
    </row>
    <row r="704" spans="1:8" x14ac:dyDescent="0.25">
      <c r="A704" t="s">
        <v>151</v>
      </c>
      <c r="B704">
        <v>133501</v>
      </c>
      <c r="C704" s="1">
        <v>54</v>
      </c>
      <c r="D704" s="3">
        <v>44130</v>
      </c>
      <c r="E704" t="str">
        <f>"003200"</f>
        <v>003200</v>
      </c>
      <c r="F704" t="str">
        <f>"INSPECTIONS/PCT#3"</f>
        <v>INSPECTIONS/PCT#3</v>
      </c>
      <c r="G704" s="1">
        <v>54</v>
      </c>
      <c r="H704" t="str">
        <f>"INSPECTIONS/PCT#3"</f>
        <v>INSPECTIONS/PCT#3</v>
      </c>
    </row>
    <row r="705" spans="1:8" x14ac:dyDescent="0.25">
      <c r="A705" t="s">
        <v>150</v>
      </c>
      <c r="B705">
        <v>133502</v>
      </c>
      <c r="C705" s="1">
        <v>821.79</v>
      </c>
      <c r="D705" s="3">
        <v>44130</v>
      </c>
      <c r="E705" t="str">
        <f>"1016525555"</f>
        <v>1016525555</v>
      </c>
      <c r="F705" t="str">
        <f>"INV 1016525555"</f>
        <v>INV 1016525555</v>
      </c>
      <c r="G705" s="1">
        <v>32.25</v>
      </c>
      <c r="H705" t="str">
        <f>"INV 1016525555"</f>
        <v>INV 1016525555</v>
      </c>
    </row>
    <row r="706" spans="1:8" x14ac:dyDescent="0.25">
      <c r="E706" t="str">
        <f>"1016591262"</f>
        <v>1016591262</v>
      </c>
      <c r="F706" t="str">
        <f>"ACCT#0011198047/ADHESIVE TAPE"</f>
        <v>ACCT#0011198047/ADHESIVE TAPE</v>
      </c>
      <c r="G706" s="1">
        <v>214.18</v>
      </c>
      <c r="H706" t="str">
        <f>"ACCT#0011198047/ADHESIVE TAPE"</f>
        <v>ACCT#0011198047/ADHESIVE TAPE</v>
      </c>
    </row>
    <row r="707" spans="1:8" x14ac:dyDescent="0.25">
      <c r="E707" t="str">
        <f>"202010209668"</f>
        <v>202010209668</v>
      </c>
      <c r="F707" t="str">
        <f>"ACCT#0011198047/BASTROP COUNTY"</f>
        <v>ACCT#0011198047/BASTROP COUNTY</v>
      </c>
      <c r="G707" s="1">
        <v>575.36</v>
      </c>
      <c r="H707" t="str">
        <f>"ACCT#0011198047/BASTROP COUNTY"</f>
        <v>ACCT#0011198047/BASTROP COUNTY</v>
      </c>
    </row>
    <row r="708" spans="1:8" x14ac:dyDescent="0.25">
      <c r="A708" t="s">
        <v>149</v>
      </c>
      <c r="B708">
        <v>3365</v>
      </c>
      <c r="C708" s="1">
        <v>1631.01</v>
      </c>
      <c r="D708" s="3">
        <v>44118</v>
      </c>
      <c r="E708" t="str">
        <f>"3312164376"</f>
        <v>3312164376</v>
      </c>
      <c r="F708" t="str">
        <f>"ACCT#0011198047"</f>
        <v>ACCT#0011198047</v>
      </c>
      <c r="G708" s="1">
        <v>1631.01</v>
      </c>
      <c r="H708" t="str">
        <f>"ACCT#0011198047"</f>
        <v>ACCT#0011198047</v>
      </c>
    </row>
    <row r="709" spans="1:8" x14ac:dyDescent="0.25">
      <c r="A709" t="s">
        <v>148</v>
      </c>
      <c r="B709">
        <v>3345</v>
      </c>
      <c r="C709" s="1">
        <v>494.91</v>
      </c>
      <c r="D709" s="3">
        <v>44118</v>
      </c>
      <c r="E709" t="str">
        <f>"202010069470"</f>
        <v>202010069470</v>
      </c>
      <c r="F709" t="str">
        <f>"ACCT#0005/PCT#4"</f>
        <v>ACCT#0005/PCT#4</v>
      </c>
      <c r="G709" s="1">
        <v>494.91</v>
      </c>
      <c r="H709" t="str">
        <f>"ACCT#0005/PCT#4"</f>
        <v>ACCT#0005/PCT#4</v>
      </c>
    </row>
    <row r="710" spans="1:8" x14ac:dyDescent="0.25">
      <c r="A710" t="s">
        <v>147</v>
      </c>
      <c r="B710">
        <v>133368</v>
      </c>
      <c r="C710" s="1">
        <v>1619.26</v>
      </c>
      <c r="D710" s="3">
        <v>44117</v>
      </c>
      <c r="E710" t="str">
        <f>"202010059359"</f>
        <v>202010059359</v>
      </c>
      <c r="F710" t="str">
        <f>"ACCT#8850283308/PCT#2"</f>
        <v>ACCT#8850283308/PCT#2</v>
      </c>
      <c r="G710" s="1">
        <v>1619.26</v>
      </c>
      <c r="H710" t="str">
        <f>"ACCT#8850283308/PCT#2"</f>
        <v>ACCT#8850283308/PCT#2</v>
      </c>
    </row>
    <row r="711" spans="1:8" x14ac:dyDescent="0.25">
      <c r="A711" t="s">
        <v>146</v>
      </c>
      <c r="B711">
        <v>133369</v>
      </c>
      <c r="C711" s="1">
        <v>450</v>
      </c>
      <c r="D711" s="3">
        <v>44117</v>
      </c>
      <c r="E711" t="str">
        <f>"166188"</f>
        <v>166188</v>
      </c>
      <c r="F711" t="str">
        <f>"PARTS/LABOR/PCT#4"</f>
        <v>PARTS/LABOR/PCT#4</v>
      </c>
      <c r="G711" s="1">
        <v>450</v>
      </c>
      <c r="H711" t="str">
        <f>"PARTS/LABOR/PCT#4"</f>
        <v>PARTS/LABOR/PCT#4</v>
      </c>
    </row>
    <row r="712" spans="1:8" x14ac:dyDescent="0.25">
      <c r="A712" t="s">
        <v>145</v>
      </c>
      <c r="B712">
        <v>133503</v>
      </c>
      <c r="C712" s="1">
        <v>50</v>
      </c>
      <c r="D712" s="3">
        <v>44130</v>
      </c>
      <c r="E712" t="s">
        <v>144</v>
      </c>
      <c r="F712" s="4" t="str">
        <f>"RESTITUTION - C. FERRIS"</f>
        <v>RESTITUTION - C. FERRIS</v>
      </c>
      <c r="G712" s="1">
        <v>50</v>
      </c>
      <c r="H712" t="str">
        <f>"RESTITUTION - C. FERRIS"</f>
        <v>RESTITUTION - C. FERRIS</v>
      </c>
    </row>
    <row r="713" spans="1:8" x14ac:dyDescent="0.25">
      <c r="A713" t="s">
        <v>143</v>
      </c>
      <c r="B713">
        <v>3370</v>
      </c>
      <c r="C713" s="1">
        <v>987.5</v>
      </c>
      <c r="D713" s="3">
        <v>44118</v>
      </c>
      <c r="E713" t="str">
        <f>"202274"</f>
        <v>202274</v>
      </c>
      <c r="F713" t="str">
        <f>"INV 202274"</f>
        <v>INV 202274</v>
      </c>
      <c r="G713" s="1">
        <v>987.5</v>
      </c>
      <c r="H713" t="str">
        <f>"INV 202274"</f>
        <v>INV 202274</v>
      </c>
    </row>
    <row r="714" spans="1:8" x14ac:dyDescent="0.25">
      <c r="A714" t="s">
        <v>142</v>
      </c>
      <c r="B714">
        <v>133370</v>
      </c>
      <c r="C714" s="1">
        <v>346.5</v>
      </c>
      <c r="D714" s="3">
        <v>44117</v>
      </c>
      <c r="E714" t="str">
        <f>"333929"</f>
        <v>333929</v>
      </c>
      <c r="F714" t="str">
        <f>"ANNUAL FIRE EXT MAINT SVC"</f>
        <v>ANNUAL FIRE EXT MAINT SVC</v>
      </c>
      <c r="G714" s="1">
        <v>346.5</v>
      </c>
      <c r="H714" t="str">
        <f>"ANNUAL FIRE EXT MAINT SVC"</f>
        <v>ANNUAL FIRE EXT MAINT SVC</v>
      </c>
    </row>
    <row r="715" spans="1:8" x14ac:dyDescent="0.25">
      <c r="A715" t="s">
        <v>141</v>
      </c>
      <c r="B715">
        <v>133504</v>
      </c>
      <c r="C715" s="1">
        <v>40.19</v>
      </c>
      <c r="D715" s="3">
        <v>44130</v>
      </c>
      <c r="E715" t="str">
        <f>"202010219733"</f>
        <v>202010219733</v>
      </c>
      <c r="F715" t="str">
        <f>"INDIGENT HEALTH"</f>
        <v>INDIGENT HEALTH</v>
      </c>
      <c r="G715" s="1">
        <v>40.19</v>
      </c>
      <c r="H715" t="str">
        <f>"INDIGENT HEALTH"</f>
        <v>INDIGENT HEALTH</v>
      </c>
    </row>
    <row r="716" spans="1:8" x14ac:dyDescent="0.25">
      <c r="A716" t="s">
        <v>140</v>
      </c>
      <c r="B716">
        <v>133505</v>
      </c>
      <c r="C716" s="1">
        <v>350.5</v>
      </c>
      <c r="D716" s="3">
        <v>44130</v>
      </c>
      <c r="E716" t="str">
        <f>"046915"</f>
        <v>046915</v>
      </c>
      <c r="F716" t="str">
        <f>"INV 046915"</f>
        <v>INV 046915</v>
      </c>
      <c r="G716" s="1">
        <v>350.5</v>
      </c>
      <c r="H716" t="str">
        <f>"INV 046915"</f>
        <v>INV 046915</v>
      </c>
    </row>
    <row r="717" spans="1:8" x14ac:dyDescent="0.25">
      <c r="A717" t="s">
        <v>139</v>
      </c>
      <c r="B717">
        <v>133371</v>
      </c>
      <c r="C717" s="1">
        <v>272.93</v>
      </c>
      <c r="D717" s="3">
        <v>44117</v>
      </c>
      <c r="E717" t="str">
        <f>"RINV150746"</f>
        <v>RINV150746</v>
      </c>
      <c r="F717" t="str">
        <f>"RINV150746"</f>
        <v>RINV150746</v>
      </c>
      <c r="G717" s="1">
        <v>272.93</v>
      </c>
      <c r="H717" t="str">
        <f>"INV 09292020"</f>
        <v>INV 09292020</v>
      </c>
    </row>
    <row r="718" spans="1:8" x14ac:dyDescent="0.25">
      <c r="A718" t="s">
        <v>138</v>
      </c>
      <c r="B718">
        <v>133506</v>
      </c>
      <c r="C718" s="1">
        <v>935</v>
      </c>
      <c r="D718" s="3">
        <v>44130</v>
      </c>
      <c r="E718" t="str">
        <f>"133671"</f>
        <v>133671</v>
      </c>
      <c r="F718" t="str">
        <f>"HEADACHE RACK/PCT#4"</f>
        <v>HEADACHE RACK/PCT#4</v>
      </c>
      <c r="G718" s="1">
        <v>935</v>
      </c>
      <c r="H718" t="str">
        <f>"HEADACHE RACK/PCT#4"</f>
        <v>HEADACHE RACK/PCT#4</v>
      </c>
    </row>
    <row r="719" spans="1:8" x14ac:dyDescent="0.25">
      <c r="A719" t="s">
        <v>137</v>
      </c>
      <c r="B719">
        <v>3386</v>
      </c>
      <c r="C719" s="1">
        <v>345.69</v>
      </c>
      <c r="D719" s="3">
        <v>44131</v>
      </c>
      <c r="E719" t="str">
        <f>" 10J0121587851"</f>
        <v xml:space="preserve"> 10J0121587851</v>
      </c>
      <c r="F719" t="str">
        <f>"ACCT#0121587851/1133 DILDY"</f>
        <v>ACCT#0121587851/1133 DILDY</v>
      </c>
      <c r="G719" s="1">
        <v>10.99</v>
      </c>
      <c r="H719" t="str">
        <f>"ACCT#0121587851/1133 DILDY"</f>
        <v>ACCT#0121587851/1133 DILDY</v>
      </c>
    </row>
    <row r="720" spans="1:8" x14ac:dyDescent="0.25">
      <c r="E720" t="str">
        <f>"10J0121569859"</f>
        <v>10J0121569859</v>
      </c>
      <c r="F720" t="str">
        <f>"ACCT#0121569859/JP#4"</f>
        <v>ACCT#0121569859/JP#4</v>
      </c>
      <c r="G720" s="1">
        <v>216.83</v>
      </c>
      <c r="H720" t="str">
        <f>"ACCT#0121569859/JP#4"</f>
        <v>ACCT#0121569859/JP#4</v>
      </c>
    </row>
    <row r="721" spans="1:8" x14ac:dyDescent="0.25">
      <c r="E721" t="str">
        <f>"10J0121569859 10/1"</f>
        <v>10J0121569859 10/1</v>
      </c>
      <c r="F721" t="str">
        <f>"ACCT#0121569859/JP#4"</f>
        <v>ACCT#0121569859/JP#4</v>
      </c>
      <c r="G721" s="1">
        <v>12.99</v>
      </c>
      <c r="H721" t="str">
        <f>"ACCT#0121569859/JP#4"</f>
        <v>ACCT#0121569859/JP#4</v>
      </c>
    </row>
    <row r="722" spans="1:8" x14ac:dyDescent="0.25">
      <c r="E722" t="str">
        <f>"10J0121587851"</f>
        <v>10J0121587851</v>
      </c>
      <c r="F722" t="str">
        <f>"ACCT#0121587851/1133 DILDY"</f>
        <v>ACCT#0121587851/1133 DILDY</v>
      </c>
      <c r="G722" s="1">
        <v>104.88</v>
      </c>
      <c r="H722" t="str">
        <f>"ACCT#0121587851/1133 DILDY"</f>
        <v>ACCT#0121587851/1133 DILDY</v>
      </c>
    </row>
    <row r="723" spans="1:8" x14ac:dyDescent="0.25">
      <c r="A723" t="s">
        <v>136</v>
      </c>
      <c r="B723">
        <v>3348</v>
      </c>
      <c r="C723" s="1">
        <v>3000</v>
      </c>
      <c r="D723" s="3">
        <v>44118</v>
      </c>
      <c r="E723" t="str">
        <f>"10"</f>
        <v>10</v>
      </c>
      <c r="F723" t="str">
        <f>"SPAY/NEUTER SVCS/OCT 1-5"</f>
        <v>SPAY/NEUTER SVCS/OCT 1-5</v>
      </c>
      <c r="G723" s="1">
        <v>1000</v>
      </c>
      <c r="H723" t="str">
        <f>"SPAY/NEUTER SVCS/OCT 1-5"</f>
        <v>SPAY/NEUTER SVCS/OCT 1-5</v>
      </c>
    </row>
    <row r="724" spans="1:8" x14ac:dyDescent="0.25">
      <c r="E724" t="str">
        <f>"9"</f>
        <v>9</v>
      </c>
      <c r="F724" t="str">
        <f>"SPAY/NEUTER SVCS/SEPT 24-29"</f>
        <v>SPAY/NEUTER SVCS/SEPT 24-29</v>
      </c>
      <c r="G724" s="1">
        <v>2000</v>
      </c>
      <c r="H724" t="str">
        <f>"SPAY/NEUTER SVCS/SEPT 24-29"</f>
        <v>SPAY/NEUTER SVCS/SEPT 24-29</v>
      </c>
    </row>
    <row r="725" spans="1:8" x14ac:dyDescent="0.25">
      <c r="E725" t="str">
        <f>""</f>
        <v/>
      </c>
      <c r="F725" t="str">
        <f>""</f>
        <v/>
      </c>
      <c r="H725" t="str">
        <f>"SPAY/NEUTER SVCS/SEPT 24-29"</f>
        <v>SPAY/NEUTER SVCS/SEPT 24-29</v>
      </c>
    </row>
    <row r="726" spans="1:8" x14ac:dyDescent="0.25">
      <c r="A726" t="s">
        <v>136</v>
      </c>
      <c r="B726">
        <v>3416</v>
      </c>
      <c r="C726" s="1">
        <v>2160</v>
      </c>
      <c r="D726" s="3">
        <v>44131</v>
      </c>
      <c r="E726" t="str">
        <f>"11"</f>
        <v>11</v>
      </c>
      <c r="F726" t="str">
        <f>"SPAY/NEUTER SVCS 10/08-10/20"</f>
        <v>SPAY/NEUTER SVCS 10/08-10/20</v>
      </c>
      <c r="G726" s="1">
        <v>2160</v>
      </c>
      <c r="H726" t="str">
        <f>"SPAY/NEUTER SVCS 10/08-10/20"</f>
        <v>SPAY/NEUTER SVCS 10/08-10/20</v>
      </c>
    </row>
    <row r="727" spans="1:8" x14ac:dyDescent="0.25">
      <c r="E727" t="str">
        <f>""</f>
        <v/>
      </c>
      <c r="F727" t="str">
        <f>""</f>
        <v/>
      </c>
      <c r="H727" t="str">
        <f>"SPAY/NEUTER SVCS 10/08-10/20"</f>
        <v>SPAY/NEUTER SVCS 10/08-10/20</v>
      </c>
    </row>
    <row r="728" spans="1:8" x14ac:dyDescent="0.25">
      <c r="A728" t="s">
        <v>135</v>
      </c>
      <c r="B728">
        <v>133507</v>
      </c>
      <c r="C728" s="1">
        <v>250</v>
      </c>
      <c r="D728" s="3">
        <v>44130</v>
      </c>
      <c r="E728" t="str">
        <f>"20201010019610"</f>
        <v>20201010019610</v>
      </c>
      <c r="F728" t="str">
        <f>"CUST#19610/GEN SVCS"</f>
        <v>CUST#19610/GEN SVCS</v>
      </c>
      <c r="G728" s="1">
        <v>250</v>
      </c>
      <c r="H728" t="str">
        <f>"CUST#19610/GEN SVCS"</f>
        <v>CUST#19610/GEN SVCS</v>
      </c>
    </row>
    <row r="729" spans="1:8" x14ac:dyDescent="0.25">
      <c r="A729" t="s">
        <v>134</v>
      </c>
      <c r="B729">
        <v>133284</v>
      </c>
      <c r="C729" s="1">
        <v>1652.84</v>
      </c>
      <c r="D729" s="3">
        <v>44111</v>
      </c>
      <c r="E729" t="str">
        <f>"111 030 609 144 4"</f>
        <v>111 030 609 144 4</v>
      </c>
      <c r="F729" t="str">
        <f>"ACCT#15 072 199-1 / 09282020"</f>
        <v>ACCT#15 072 199-1 / 09282020</v>
      </c>
      <c r="G729" s="1">
        <v>50.42</v>
      </c>
      <c r="H729" t="str">
        <f>"ACCT#15 072 199-1 / 09282020"</f>
        <v>ACCT#15 072 199-1 / 09282020</v>
      </c>
    </row>
    <row r="730" spans="1:8" x14ac:dyDescent="0.25">
      <c r="E730" t="str">
        <f>"111 030 609 145 1"</f>
        <v>111 030 609 145 1</v>
      </c>
      <c r="F730" t="str">
        <f>"ACCT#15 072 200-7 / 09282020"</f>
        <v>ACCT#15 072 200-7 / 09282020</v>
      </c>
      <c r="G730" s="1">
        <v>260.66000000000003</v>
      </c>
      <c r="H730" t="str">
        <f>"ACCT#15 072 200-7 / 09282020"</f>
        <v>ACCT#15 072 200-7 / 09282020</v>
      </c>
    </row>
    <row r="731" spans="1:8" x14ac:dyDescent="0.25">
      <c r="E731" t="str">
        <f>"111 030 609 146 9"</f>
        <v>111 030 609 146 9</v>
      </c>
      <c r="F731" t="str">
        <f>"ACCT#15 072 201-5 / 09282020"</f>
        <v>ACCT#15 072 201-5 / 09282020</v>
      </c>
      <c r="G731" s="1">
        <v>461.72</v>
      </c>
      <c r="H731" t="str">
        <f>"ACCT#15 072 201-5 / 09282020"</f>
        <v>ACCT#15 072 201-5 / 09282020</v>
      </c>
    </row>
    <row r="732" spans="1:8" x14ac:dyDescent="0.25">
      <c r="E732" t="str">
        <f>"111 030 609 147 7"</f>
        <v>111 030 609 147 7</v>
      </c>
      <c r="F732" t="str">
        <f>"ACCT#15 072 202-3 / 09282020"</f>
        <v>ACCT#15 072 202-3 / 09282020</v>
      </c>
      <c r="G732" s="1">
        <v>24.33</v>
      </c>
      <c r="H732" t="str">
        <f>"ACCT#15 072 202-3 / 09282020"</f>
        <v>ACCT#15 072 202-3 / 09282020</v>
      </c>
    </row>
    <row r="733" spans="1:8" x14ac:dyDescent="0.25">
      <c r="E733" t="str">
        <f>"111 030 609 148 5"</f>
        <v>111 030 609 148 5</v>
      </c>
      <c r="F733" t="str">
        <f>"ACCT# 15 072 203-1 / 09282020"</f>
        <v>ACCT# 15 072 203-1 / 09282020</v>
      </c>
      <c r="G733" s="1">
        <v>15.75</v>
      </c>
      <c r="H733" t="str">
        <f>"ACCT# 15 072 203-1 / 09282020"</f>
        <v>ACCT# 15 072 203-1 / 09282020</v>
      </c>
    </row>
    <row r="734" spans="1:8" x14ac:dyDescent="0.25">
      <c r="E734" t="str">
        <f>"111 030 609 149 3"</f>
        <v>111 030 609 149 3</v>
      </c>
      <c r="F734" t="str">
        <f>"ACCT#15 072 204-9 / 09282020"</f>
        <v>ACCT#15 072 204-9 / 09282020</v>
      </c>
      <c r="G734" s="1">
        <v>382.9</v>
      </c>
      <c r="H734" t="str">
        <f>"ACCT#15 072 204-9 / 09282020"</f>
        <v>ACCT#15 072 204-9 / 09282020</v>
      </c>
    </row>
    <row r="735" spans="1:8" x14ac:dyDescent="0.25">
      <c r="E735" t="str">
        <f>"119 007 457 985 3"</f>
        <v>119 007 457 985 3</v>
      </c>
      <c r="F735" t="str">
        <f>"ACCT#15 070 712-3 / 09292020"</f>
        <v>ACCT#15 070 712-3 / 09292020</v>
      </c>
      <c r="G735" s="1">
        <v>18.149999999999999</v>
      </c>
      <c r="H735" t="str">
        <f>"ACCT#15 070 712-3 / 09292020"</f>
        <v>ACCT#15 070 712-3 / 09292020</v>
      </c>
    </row>
    <row r="736" spans="1:8" x14ac:dyDescent="0.25">
      <c r="E736" t="str">
        <f>"119 007 457 986 1"</f>
        <v>119 007 457 986 1</v>
      </c>
      <c r="F736" t="str">
        <f>"ACCT#15 070 713-1 / 09292020"</f>
        <v>ACCT#15 070 713-1 / 09292020</v>
      </c>
      <c r="G736" s="1">
        <v>21.85</v>
      </c>
      <c r="H736" t="str">
        <f>"ACCT#15 070 713-1 / 09292020"</f>
        <v>ACCT#15 070 713-1 / 09292020</v>
      </c>
    </row>
    <row r="737" spans="1:8" x14ac:dyDescent="0.25">
      <c r="E737" t="str">
        <f>"302 002 021 432 1"</f>
        <v>302 002 021 432 1</v>
      </c>
      <c r="F737" t="str">
        <f>"ACCT#15 069 451-1 / 09282020"</f>
        <v>ACCT#15 069 451-1 / 09282020</v>
      </c>
      <c r="G737" s="1">
        <v>417.06</v>
      </c>
      <c r="H737" t="str">
        <f>"ACCT#15 069 451-1 / 09282020"</f>
        <v>ACCT#15 069 451-1 / 09282020</v>
      </c>
    </row>
    <row r="738" spans="1:8" x14ac:dyDescent="0.25">
      <c r="A738" t="s">
        <v>133</v>
      </c>
      <c r="B738">
        <v>3342</v>
      </c>
      <c r="C738" s="1">
        <v>3374.74</v>
      </c>
      <c r="D738" s="3">
        <v>44118</v>
      </c>
      <c r="E738" t="str">
        <f>"16305"</f>
        <v>16305</v>
      </c>
      <c r="F738" t="str">
        <f>"SVC ORD#16601/PCT#4"</f>
        <v>SVC ORD#16601/PCT#4</v>
      </c>
      <c r="G738" s="1">
        <v>671.34</v>
      </c>
      <c r="H738" t="str">
        <f>"SVC ORD#16601/PCT#4"</f>
        <v>SVC ORD#16601/PCT#4</v>
      </c>
    </row>
    <row r="739" spans="1:8" x14ac:dyDescent="0.25">
      <c r="E739" t="str">
        <f>"16306"</f>
        <v>16306</v>
      </c>
      <c r="F739" t="str">
        <f>"SVC ORD#16600/PCT#4"</f>
        <v>SVC ORD#16600/PCT#4</v>
      </c>
      <c r="G739" s="1">
        <v>2703.4</v>
      </c>
      <c r="H739" t="str">
        <f>"SVC ORD#16600/PCT#4"</f>
        <v>SVC ORD#16600/PCT#4</v>
      </c>
    </row>
    <row r="740" spans="1:8" x14ac:dyDescent="0.25">
      <c r="A740" t="s">
        <v>132</v>
      </c>
      <c r="B740">
        <v>133508</v>
      </c>
      <c r="C740" s="1">
        <v>14950</v>
      </c>
      <c r="D740" s="3">
        <v>44130</v>
      </c>
      <c r="E740" t="str">
        <f>"RFB 20BCP08G"</f>
        <v>RFB 20BCP08G</v>
      </c>
      <c r="F740" t="str">
        <f>"RFB"</f>
        <v>RFB</v>
      </c>
      <c r="G740" s="1">
        <v>14950</v>
      </c>
      <c r="H740" t="str">
        <f>"RFB 20BCP08G"</f>
        <v>RFB 20BCP08G</v>
      </c>
    </row>
    <row r="741" spans="1:8" x14ac:dyDescent="0.25">
      <c r="A741" t="s">
        <v>131</v>
      </c>
      <c r="B741">
        <v>133509</v>
      </c>
      <c r="C741" s="1">
        <v>9000</v>
      </c>
      <c r="D741" s="3">
        <v>44130</v>
      </c>
      <c r="E741" t="str">
        <f>"202010149606"</f>
        <v>202010149606</v>
      </c>
      <c r="F741" t="str">
        <f>"ACCT#34549337/POSTAGE"</f>
        <v>ACCT#34549337/POSTAGE</v>
      </c>
      <c r="G741" s="1">
        <v>9000</v>
      </c>
      <c r="H741" t="str">
        <f>"ACCT#34549337/POSTAGE"</f>
        <v>ACCT#34549337/POSTAGE</v>
      </c>
    </row>
    <row r="742" spans="1:8" x14ac:dyDescent="0.25">
      <c r="A742" t="s">
        <v>130</v>
      </c>
      <c r="B742">
        <v>133510</v>
      </c>
      <c r="C742" s="1">
        <v>47.78</v>
      </c>
      <c r="D742" s="3">
        <v>44130</v>
      </c>
      <c r="E742" t="str">
        <f>"87817"</f>
        <v>87817</v>
      </c>
      <c r="F742" t="str">
        <f>"ACCT#3510/PCT#4"</f>
        <v>ACCT#3510/PCT#4</v>
      </c>
      <c r="G742" s="1">
        <v>3.15</v>
      </c>
      <c r="H742" t="str">
        <f>"ACCT#3510/PCT#4"</f>
        <v>ACCT#3510/PCT#4</v>
      </c>
    </row>
    <row r="743" spans="1:8" x14ac:dyDescent="0.25">
      <c r="E743" t="str">
        <f>"87840"</f>
        <v>87840</v>
      </c>
      <c r="F743" t="str">
        <f>"ACCT#3510/PCT#4"</f>
        <v>ACCT#3510/PCT#4</v>
      </c>
      <c r="G743" s="1">
        <v>44.63</v>
      </c>
      <c r="H743" t="str">
        <f>"ACCT#3510/PCT#4"</f>
        <v>ACCT#3510/PCT#4</v>
      </c>
    </row>
    <row r="744" spans="1:8" x14ac:dyDescent="0.25">
      <c r="A744" t="s">
        <v>129</v>
      </c>
      <c r="B744">
        <v>3390</v>
      </c>
      <c r="C744" s="1">
        <v>94.5</v>
      </c>
      <c r="D744" s="3">
        <v>44131</v>
      </c>
      <c r="E744" t="str">
        <f>"1086443620"</f>
        <v>1086443620</v>
      </c>
      <c r="F744" t="str">
        <f>"INV 1086443620"</f>
        <v>INV 1086443620</v>
      </c>
      <c r="G744" s="1">
        <v>94.5</v>
      </c>
      <c r="H744" t="str">
        <f>"INV 1086443620"</f>
        <v>INV 1086443620</v>
      </c>
    </row>
    <row r="745" spans="1:8" x14ac:dyDescent="0.25">
      <c r="A745" t="s">
        <v>128</v>
      </c>
      <c r="B745">
        <v>133372</v>
      </c>
      <c r="C745" s="1">
        <v>9236.6299999999992</v>
      </c>
      <c r="D745" s="3">
        <v>44117</v>
      </c>
      <c r="E745" t="str">
        <f>"36168357"</f>
        <v>36168357</v>
      </c>
      <c r="F745" t="str">
        <f>"CUST#2000172616"</f>
        <v>CUST#2000172616</v>
      </c>
      <c r="G745" s="1">
        <v>9236.6299999999992</v>
      </c>
      <c r="H745" t="str">
        <f>"CUST#2000172616"</f>
        <v>CUST#2000172616</v>
      </c>
    </row>
    <row r="746" spans="1:8" x14ac:dyDescent="0.25">
      <c r="E746" t="str">
        <f>""</f>
        <v/>
      </c>
      <c r="F746" t="str">
        <f>""</f>
        <v/>
      </c>
      <c r="H746" t="str">
        <f>"CUST#2000172616"</f>
        <v>CUST#2000172616</v>
      </c>
    </row>
    <row r="747" spans="1:8" x14ac:dyDescent="0.25">
      <c r="E747" t="str">
        <f>""</f>
        <v/>
      </c>
      <c r="F747" t="str">
        <f>""</f>
        <v/>
      </c>
      <c r="H747" t="str">
        <f>"CUST#2000172616"</f>
        <v>CUST#2000172616</v>
      </c>
    </row>
    <row r="748" spans="1:8" x14ac:dyDescent="0.25">
      <c r="E748" t="str">
        <f>""</f>
        <v/>
      </c>
      <c r="F748" t="str">
        <f>""</f>
        <v/>
      </c>
      <c r="H748" t="str">
        <f>"CUST#2000172616"</f>
        <v>CUST#2000172616</v>
      </c>
    </row>
    <row r="749" spans="1:8" x14ac:dyDescent="0.25">
      <c r="E749" t="str">
        <f>""</f>
        <v/>
      </c>
      <c r="F749" t="str">
        <f>""</f>
        <v/>
      </c>
      <c r="H749" t="str">
        <f>"CUST#2000172616"</f>
        <v>CUST#2000172616</v>
      </c>
    </row>
    <row r="750" spans="1:8" x14ac:dyDescent="0.25">
      <c r="E750" t="str">
        <f>""</f>
        <v/>
      </c>
      <c r="F750" t="str">
        <f>""</f>
        <v/>
      </c>
      <c r="H750" t="str">
        <f>"CUST#2000172616"</f>
        <v>CUST#2000172616</v>
      </c>
    </row>
    <row r="751" spans="1:8" x14ac:dyDescent="0.25">
      <c r="E751" t="str">
        <f>""</f>
        <v/>
      </c>
      <c r="F751" t="str">
        <f>""</f>
        <v/>
      </c>
      <c r="H751" t="str">
        <f>"CUST#2000172616"</f>
        <v>CUST#2000172616</v>
      </c>
    </row>
    <row r="752" spans="1:8" x14ac:dyDescent="0.25">
      <c r="E752" t="str">
        <f>""</f>
        <v/>
      </c>
      <c r="F752" t="str">
        <f>""</f>
        <v/>
      </c>
      <c r="H752" t="str">
        <f>"CUST#2000172616"</f>
        <v>CUST#2000172616</v>
      </c>
    </row>
    <row r="753" spans="5:8" x14ac:dyDescent="0.25">
      <c r="E753" t="str">
        <f>""</f>
        <v/>
      </c>
      <c r="F753" t="str">
        <f>""</f>
        <v/>
      </c>
      <c r="H753" t="str">
        <f>"CUST#2000172616"</f>
        <v>CUST#2000172616</v>
      </c>
    </row>
    <row r="754" spans="5:8" x14ac:dyDescent="0.25">
      <c r="E754" t="str">
        <f>""</f>
        <v/>
      </c>
      <c r="F754" t="str">
        <f>""</f>
        <v/>
      </c>
      <c r="H754" t="str">
        <f>"CUST#2000172616"</f>
        <v>CUST#2000172616</v>
      </c>
    </row>
    <row r="755" spans="5:8" x14ac:dyDescent="0.25">
      <c r="E755" t="str">
        <f>""</f>
        <v/>
      </c>
      <c r="F755" t="str">
        <f>""</f>
        <v/>
      </c>
      <c r="H755" t="str">
        <f>"CUST#2000172616"</f>
        <v>CUST#2000172616</v>
      </c>
    </row>
    <row r="756" spans="5:8" x14ac:dyDescent="0.25">
      <c r="E756" t="str">
        <f>""</f>
        <v/>
      </c>
      <c r="F756" t="str">
        <f>""</f>
        <v/>
      </c>
      <c r="H756" t="str">
        <f>"CUST#2000172616"</f>
        <v>CUST#2000172616</v>
      </c>
    </row>
    <row r="757" spans="5:8" x14ac:dyDescent="0.25">
      <c r="E757" t="str">
        <f>""</f>
        <v/>
      </c>
      <c r="F757" t="str">
        <f>""</f>
        <v/>
      </c>
      <c r="H757" t="str">
        <f>"CUST#2000172616"</f>
        <v>CUST#2000172616</v>
      </c>
    </row>
    <row r="758" spans="5:8" x14ac:dyDescent="0.25">
      <c r="E758" t="str">
        <f>""</f>
        <v/>
      </c>
      <c r="F758" t="str">
        <f>""</f>
        <v/>
      </c>
      <c r="H758" t="str">
        <f>"CUST#2000172616"</f>
        <v>CUST#2000172616</v>
      </c>
    </row>
    <row r="759" spans="5:8" x14ac:dyDescent="0.25">
      <c r="E759" t="str">
        <f>""</f>
        <v/>
      </c>
      <c r="F759" t="str">
        <f>""</f>
        <v/>
      </c>
      <c r="H759" t="str">
        <f>"CUST#2000172616"</f>
        <v>CUST#2000172616</v>
      </c>
    </row>
    <row r="760" spans="5:8" x14ac:dyDescent="0.25">
      <c r="E760" t="str">
        <f>""</f>
        <v/>
      </c>
      <c r="F760" t="str">
        <f>""</f>
        <v/>
      </c>
      <c r="H760" t="str">
        <f>"CUST#2000172616"</f>
        <v>CUST#2000172616</v>
      </c>
    </row>
    <row r="761" spans="5:8" x14ac:dyDescent="0.25">
      <c r="E761" t="str">
        <f>""</f>
        <v/>
      </c>
      <c r="F761" t="str">
        <f>""</f>
        <v/>
      </c>
      <c r="H761" t="str">
        <f>"CUST#2000172616"</f>
        <v>CUST#2000172616</v>
      </c>
    </row>
    <row r="762" spans="5:8" x14ac:dyDescent="0.25">
      <c r="E762" t="str">
        <f>""</f>
        <v/>
      </c>
      <c r="F762" t="str">
        <f>""</f>
        <v/>
      </c>
      <c r="H762" t="str">
        <f>"CUST#2000172616"</f>
        <v>CUST#2000172616</v>
      </c>
    </row>
    <row r="763" spans="5:8" x14ac:dyDescent="0.25">
      <c r="E763" t="str">
        <f>""</f>
        <v/>
      </c>
      <c r="F763" t="str">
        <f>""</f>
        <v/>
      </c>
      <c r="H763" t="str">
        <f>"CUST#2000172616"</f>
        <v>CUST#2000172616</v>
      </c>
    </row>
    <row r="764" spans="5:8" x14ac:dyDescent="0.25">
      <c r="E764" t="str">
        <f>""</f>
        <v/>
      </c>
      <c r="F764" t="str">
        <f>""</f>
        <v/>
      </c>
      <c r="H764" t="str">
        <f>"CUST#2000172616"</f>
        <v>CUST#2000172616</v>
      </c>
    </row>
    <row r="765" spans="5:8" x14ac:dyDescent="0.25">
      <c r="E765" t="str">
        <f>""</f>
        <v/>
      </c>
      <c r="F765" t="str">
        <f>""</f>
        <v/>
      </c>
      <c r="H765" t="str">
        <f>"CUST#2000172616"</f>
        <v>CUST#2000172616</v>
      </c>
    </row>
    <row r="766" spans="5:8" x14ac:dyDescent="0.25">
      <c r="E766" t="str">
        <f>""</f>
        <v/>
      </c>
      <c r="F766" t="str">
        <f>""</f>
        <v/>
      </c>
      <c r="H766" t="str">
        <f>"CUST#2000172616"</f>
        <v>CUST#2000172616</v>
      </c>
    </row>
    <row r="767" spans="5:8" x14ac:dyDescent="0.25">
      <c r="E767" t="str">
        <f>""</f>
        <v/>
      </c>
      <c r="F767" t="str">
        <f>""</f>
        <v/>
      </c>
      <c r="H767" t="str">
        <f>"CUST#2000172616"</f>
        <v>CUST#2000172616</v>
      </c>
    </row>
    <row r="768" spans="5:8" x14ac:dyDescent="0.25">
      <c r="E768" t="str">
        <f>""</f>
        <v/>
      </c>
      <c r="F768" t="str">
        <f>""</f>
        <v/>
      </c>
      <c r="H768" t="str">
        <f>"CUST#2000172616"</f>
        <v>CUST#2000172616</v>
      </c>
    </row>
    <row r="769" spans="1:8" x14ac:dyDescent="0.25">
      <c r="E769" t="str">
        <f>""</f>
        <v/>
      </c>
      <c r="F769" t="str">
        <f>""</f>
        <v/>
      </c>
      <c r="H769" t="str">
        <f>"CUST#2000172616"</f>
        <v>CUST#2000172616</v>
      </c>
    </row>
    <row r="770" spans="1:8" x14ac:dyDescent="0.25">
      <c r="E770" t="str">
        <f>""</f>
        <v/>
      </c>
      <c r="F770" t="str">
        <f>""</f>
        <v/>
      </c>
      <c r="H770" t="str">
        <f>"CUST#2000172616"</f>
        <v>CUST#2000172616</v>
      </c>
    </row>
    <row r="771" spans="1:8" x14ac:dyDescent="0.25">
      <c r="E771" t="str">
        <f>""</f>
        <v/>
      </c>
      <c r="F771" t="str">
        <f>""</f>
        <v/>
      </c>
      <c r="H771" t="str">
        <f>"CUST#2000172616"</f>
        <v>CUST#2000172616</v>
      </c>
    </row>
    <row r="772" spans="1:8" x14ac:dyDescent="0.25">
      <c r="E772" t="str">
        <f>""</f>
        <v/>
      </c>
      <c r="F772" t="str">
        <f>""</f>
        <v/>
      </c>
      <c r="H772" t="str">
        <f>"CUST#2000172616"</f>
        <v>CUST#2000172616</v>
      </c>
    </row>
    <row r="773" spans="1:8" x14ac:dyDescent="0.25">
      <c r="E773" t="str">
        <f>""</f>
        <v/>
      </c>
      <c r="F773" t="str">
        <f>""</f>
        <v/>
      </c>
      <c r="H773" t="str">
        <f>"CUST#2000172616"</f>
        <v>CUST#2000172616</v>
      </c>
    </row>
    <row r="774" spans="1:8" x14ac:dyDescent="0.25">
      <c r="E774" t="str">
        <f>""</f>
        <v/>
      </c>
      <c r="F774" t="str">
        <f>""</f>
        <v/>
      </c>
      <c r="H774" t="str">
        <f>"CUST#2000172616"</f>
        <v>CUST#2000172616</v>
      </c>
    </row>
    <row r="775" spans="1:8" x14ac:dyDescent="0.25">
      <c r="E775" t="str">
        <f>""</f>
        <v/>
      </c>
      <c r="F775" t="str">
        <f>""</f>
        <v/>
      </c>
      <c r="H775" t="str">
        <f>"CUST#2000172616"</f>
        <v>CUST#2000172616</v>
      </c>
    </row>
    <row r="776" spans="1:8" x14ac:dyDescent="0.25">
      <c r="E776" t="str">
        <f>""</f>
        <v/>
      </c>
      <c r="F776" t="str">
        <f>""</f>
        <v/>
      </c>
      <c r="H776" t="str">
        <f>"CUST#2000172616"</f>
        <v>CUST#2000172616</v>
      </c>
    </row>
    <row r="777" spans="1:8" x14ac:dyDescent="0.25">
      <c r="A777" t="s">
        <v>128</v>
      </c>
      <c r="B777">
        <v>133511</v>
      </c>
      <c r="C777" s="1">
        <v>9236.6299999999992</v>
      </c>
      <c r="D777" s="3">
        <v>44130</v>
      </c>
      <c r="E777" t="str">
        <f>"36357197"</f>
        <v>36357197</v>
      </c>
      <c r="F777" t="str">
        <f>"CUST#2000172616"</f>
        <v>CUST#2000172616</v>
      </c>
      <c r="G777" s="1">
        <v>9236.6299999999992</v>
      </c>
      <c r="H777" t="str">
        <f>"CUST#2000172616"</f>
        <v>CUST#2000172616</v>
      </c>
    </row>
    <row r="778" spans="1:8" x14ac:dyDescent="0.25">
      <c r="E778" t="str">
        <f>""</f>
        <v/>
      </c>
      <c r="F778" t="str">
        <f>""</f>
        <v/>
      </c>
      <c r="H778" t="str">
        <f>"CUST#2000172616"</f>
        <v>CUST#2000172616</v>
      </c>
    </row>
    <row r="779" spans="1:8" x14ac:dyDescent="0.25">
      <c r="E779" t="str">
        <f>""</f>
        <v/>
      </c>
      <c r="F779" t="str">
        <f>""</f>
        <v/>
      </c>
      <c r="H779" t="str">
        <f>"CUST#2000172616"</f>
        <v>CUST#2000172616</v>
      </c>
    </row>
    <row r="780" spans="1:8" x14ac:dyDescent="0.25">
      <c r="E780" t="str">
        <f>""</f>
        <v/>
      </c>
      <c r="F780" t="str">
        <f>""</f>
        <v/>
      </c>
      <c r="H780" t="str">
        <f>"CUST#2000172616"</f>
        <v>CUST#2000172616</v>
      </c>
    </row>
    <row r="781" spans="1:8" x14ac:dyDescent="0.25">
      <c r="E781" t="str">
        <f>""</f>
        <v/>
      </c>
      <c r="F781" t="str">
        <f>""</f>
        <v/>
      </c>
      <c r="H781" t="str">
        <f>"CUST#2000172616"</f>
        <v>CUST#2000172616</v>
      </c>
    </row>
    <row r="782" spans="1:8" x14ac:dyDescent="0.25">
      <c r="E782" t="str">
        <f>""</f>
        <v/>
      </c>
      <c r="F782" t="str">
        <f>""</f>
        <v/>
      </c>
      <c r="H782" t="str">
        <f>"CUST#2000172616"</f>
        <v>CUST#2000172616</v>
      </c>
    </row>
    <row r="783" spans="1:8" x14ac:dyDescent="0.25">
      <c r="E783" t="str">
        <f>""</f>
        <v/>
      </c>
      <c r="F783" t="str">
        <f>""</f>
        <v/>
      </c>
      <c r="H783" t="str">
        <f>"CUST#2000172616"</f>
        <v>CUST#2000172616</v>
      </c>
    </row>
    <row r="784" spans="1:8" x14ac:dyDescent="0.25">
      <c r="E784" t="str">
        <f>""</f>
        <v/>
      </c>
      <c r="F784" t="str">
        <f>""</f>
        <v/>
      </c>
      <c r="H784" t="str">
        <f>"CUST#2000172616"</f>
        <v>CUST#2000172616</v>
      </c>
    </row>
    <row r="785" spans="5:8" x14ac:dyDescent="0.25">
      <c r="E785" t="str">
        <f>""</f>
        <v/>
      </c>
      <c r="F785" t="str">
        <f>""</f>
        <v/>
      </c>
      <c r="H785" t="str">
        <f>"CUST#2000172616"</f>
        <v>CUST#2000172616</v>
      </c>
    </row>
    <row r="786" spans="5:8" x14ac:dyDescent="0.25">
      <c r="E786" t="str">
        <f>""</f>
        <v/>
      </c>
      <c r="F786" t="str">
        <f>""</f>
        <v/>
      </c>
      <c r="H786" t="str">
        <f>"CUST#2000172616"</f>
        <v>CUST#2000172616</v>
      </c>
    </row>
    <row r="787" spans="5:8" x14ac:dyDescent="0.25">
      <c r="E787" t="str">
        <f>""</f>
        <v/>
      </c>
      <c r="F787" t="str">
        <f>""</f>
        <v/>
      </c>
      <c r="H787" t="str">
        <f>"CUST#2000172616"</f>
        <v>CUST#2000172616</v>
      </c>
    </row>
    <row r="788" spans="5:8" x14ac:dyDescent="0.25">
      <c r="E788" t="str">
        <f>""</f>
        <v/>
      </c>
      <c r="F788" t="str">
        <f>""</f>
        <v/>
      </c>
      <c r="H788" t="str">
        <f>"CUST#2000172616"</f>
        <v>CUST#2000172616</v>
      </c>
    </row>
    <row r="789" spans="5:8" x14ac:dyDescent="0.25">
      <c r="E789" t="str">
        <f>""</f>
        <v/>
      </c>
      <c r="F789" t="str">
        <f>""</f>
        <v/>
      </c>
      <c r="H789" t="str">
        <f>"CUST#2000172616"</f>
        <v>CUST#2000172616</v>
      </c>
    </row>
    <row r="790" spans="5:8" x14ac:dyDescent="0.25">
      <c r="E790" t="str">
        <f>""</f>
        <v/>
      </c>
      <c r="F790" t="str">
        <f>""</f>
        <v/>
      </c>
      <c r="H790" t="str">
        <f>"CUST#2000172616"</f>
        <v>CUST#2000172616</v>
      </c>
    </row>
    <row r="791" spans="5:8" x14ac:dyDescent="0.25">
      <c r="E791" t="str">
        <f>""</f>
        <v/>
      </c>
      <c r="F791" t="str">
        <f>""</f>
        <v/>
      </c>
      <c r="H791" t="str">
        <f>"CUST#2000172616"</f>
        <v>CUST#2000172616</v>
      </c>
    </row>
    <row r="792" spans="5:8" x14ac:dyDescent="0.25">
      <c r="E792" t="str">
        <f>""</f>
        <v/>
      </c>
      <c r="F792" t="str">
        <f>""</f>
        <v/>
      </c>
      <c r="H792" t="str">
        <f>"CUST#2000172616"</f>
        <v>CUST#2000172616</v>
      </c>
    </row>
    <row r="793" spans="5:8" x14ac:dyDescent="0.25">
      <c r="E793" t="str">
        <f>""</f>
        <v/>
      </c>
      <c r="F793" t="str">
        <f>""</f>
        <v/>
      </c>
      <c r="H793" t="str">
        <f>"CUST#2000172616"</f>
        <v>CUST#2000172616</v>
      </c>
    </row>
    <row r="794" spans="5:8" x14ac:dyDescent="0.25">
      <c r="E794" t="str">
        <f>""</f>
        <v/>
      </c>
      <c r="F794" t="str">
        <f>""</f>
        <v/>
      </c>
      <c r="H794" t="str">
        <f>"CUST#2000172616"</f>
        <v>CUST#2000172616</v>
      </c>
    </row>
    <row r="795" spans="5:8" x14ac:dyDescent="0.25">
      <c r="E795" t="str">
        <f>""</f>
        <v/>
      </c>
      <c r="F795" t="str">
        <f>""</f>
        <v/>
      </c>
      <c r="H795" t="str">
        <f>"CUST#2000172616"</f>
        <v>CUST#2000172616</v>
      </c>
    </row>
    <row r="796" spans="5:8" x14ac:dyDescent="0.25">
      <c r="E796" t="str">
        <f>""</f>
        <v/>
      </c>
      <c r="F796" t="str">
        <f>""</f>
        <v/>
      </c>
      <c r="H796" t="str">
        <f>"CUST#2000172616"</f>
        <v>CUST#2000172616</v>
      </c>
    </row>
    <row r="797" spans="5:8" x14ac:dyDescent="0.25">
      <c r="E797" t="str">
        <f>""</f>
        <v/>
      </c>
      <c r="F797" t="str">
        <f>""</f>
        <v/>
      </c>
      <c r="H797" t="str">
        <f>"CUST#2000172616"</f>
        <v>CUST#2000172616</v>
      </c>
    </row>
    <row r="798" spans="5:8" x14ac:dyDescent="0.25">
      <c r="E798" t="str">
        <f>""</f>
        <v/>
      </c>
      <c r="F798" t="str">
        <f>""</f>
        <v/>
      </c>
      <c r="H798" t="str">
        <f>"CUST#2000172616"</f>
        <v>CUST#2000172616</v>
      </c>
    </row>
    <row r="799" spans="5:8" x14ac:dyDescent="0.25">
      <c r="E799" t="str">
        <f>""</f>
        <v/>
      </c>
      <c r="F799" t="str">
        <f>""</f>
        <v/>
      </c>
      <c r="H799" t="str">
        <f>"CUST#2000172616"</f>
        <v>CUST#2000172616</v>
      </c>
    </row>
    <row r="800" spans="5:8" x14ac:dyDescent="0.25">
      <c r="E800" t="str">
        <f>""</f>
        <v/>
      </c>
      <c r="F800" t="str">
        <f>""</f>
        <v/>
      </c>
      <c r="H800" t="str">
        <f>"CUST#2000172616"</f>
        <v>CUST#2000172616</v>
      </c>
    </row>
    <row r="801" spans="1:8" x14ac:dyDescent="0.25">
      <c r="E801" t="str">
        <f>""</f>
        <v/>
      </c>
      <c r="F801" t="str">
        <f>""</f>
        <v/>
      </c>
      <c r="H801" t="str">
        <f>"CUST#2000172616"</f>
        <v>CUST#2000172616</v>
      </c>
    </row>
    <row r="802" spans="1:8" x14ac:dyDescent="0.25">
      <c r="E802" t="str">
        <f>""</f>
        <v/>
      </c>
      <c r="F802" t="str">
        <f>""</f>
        <v/>
      </c>
      <c r="H802" t="str">
        <f>"CUST#2000172616"</f>
        <v>CUST#2000172616</v>
      </c>
    </row>
    <row r="803" spans="1:8" x14ac:dyDescent="0.25">
      <c r="E803" t="str">
        <f>""</f>
        <v/>
      </c>
      <c r="F803" t="str">
        <f>""</f>
        <v/>
      </c>
      <c r="H803" t="str">
        <f>"CUST#2000172616"</f>
        <v>CUST#2000172616</v>
      </c>
    </row>
    <row r="804" spans="1:8" x14ac:dyDescent="0.25">
      <c r="E804" t="str">
        <f>""</f>
        <v/>
      </c>
      <c r="F804" t="str">
        <f>""</f>
        <v/>
      </c>
      <c r="H804" t="str">
        <f>"CUST#2000172616"</f>
        <v>CUST#2000172616</v>
      </c>
    </row>
    <row r="805" spans="1:8" x14ac:dyDescent="0.25">
      <c r="E805" t="str">
        <f>""</f>
        <v/>
      </c>
      <c r="F805" t="str">
        <f>""</f>
        <v/>
      </c>
      <c r="H805" t="str">
        <f>"CUST#2000172616"</f>
        <v>CUST#2000172616</v>
      </c>
    </row>
    <row r="806" spans="1:8" x14ac:dyDescent="0.25">
      <c r="E806" t="str">
        <f>""</f>
        <v/>
      </c>
      <c r="F806" t="str">
        <f>""</f>
        <v/>
      </c>
      <c r="H806" t="str">
        <f>"CUST#2000172616"</f>
        <v>CUST#2000172616</v>
      </c>
    </row>
    <row r="807" spans="1:8" x14ac:dyDescent="0.25">
      <c r="E807" t="str">
        <f>""</f>
        <v/>
      </c>
      <c r="F807" t="str">
        <f>""</f>
        <v/>
      </c>
      <c r="H807" t="str">
        <f>"CUST#2000172616"</f>
        <v>CUST#2000172616</v>
      </c>
    </row>
    <row r="808" spans="1:8" x14ac:dyDescent="0.25">
      <c r="E808" t="str">
        <f>""</f>
        <v/>
      </c>
      <c r="F808" t="str">
        <f>""</f>
        <v/>
      </c>
      <c r="H808" t="str">
        <f>"CUST#2000172616"</f>
        <v>CUST#2000172616</v>
      </c>
    </row>
    <row r="809" spans="1:8" x14ac:dyDescent="0.25">
      <c r="A809" t="s">
        <v>127</v>
      </c>
      <c r="B809">
        <v>3317</v>
      </c>
      <c r="C809" s="1">
        <v>327.5</v>
      </c>
      <c r="D809" s="3">
        <v>44118</v>
      </c>
      <c r="E809" t="str">
        <f>"I014487"</f>
        <v>I014487</v>
      </c>
      <c r="F809" t="str">
        <f>"INV I014487/UNIT 5291"</f>
        <v>INV I014487/UNIT 5291</v>
      </c>
      <c r="G809" s="1">
        <v>290</v>
      </c>
      <c r="H809" t="str">
        <f>"INV I014487/UNIT 5291"</f>
        <v>INV I014487/UNIT 5291</v>
      </c>
    </row>
    <row r="810" spans="1:8" x14ac:dyDescent="0.25">
      <c r="E810" t="str">
        <f>"W015180"</f>
        <v>W015180</v>
      </c>
      <c r="F810" t="str">
        <f>"URETHANE ADHESIVE/PCT#3"</f>
        <v>URETHANE ADHESIVE/PCT#3</v>
      </c>
      <c r="G810" s="1">
        <v>37.5</v>
      </c>
      <c r="H810" t="str">
        <f>"URETHANE ADHESIVE/PCT#3"</f>
        <v>URETHANE ADHESIVE/PCT#3</v>
      </c>
    </row>
    <row r="811" spans="1:8" x14ac:dyDescent="0.25">
      <c r="A811" t="s">
        <v>126</v>
      </c>
      <c r="B811">
        <v>3340</v>
      </c>
      <c r="C811" s="1">
        <v>600</v>
      </c>
      <c r="D811" s="3">
        <v>44118</v>
      </c>
      <c r="E811" t="str">
        <f>"BCSOSEP20"</f>
        <v>BCSOSEP20</v>
      </c>
      <c r="F811" t="str">
        <f>"INV BCSOSEP20"</f>
        <v>INV BCSOSEP20</v>
      </c>
      <c r="G811" s="1">
        <v>600</v>
      </c>
      <c r="H811" t="str">
        <f>"INV BCSOSEP20"</f>
        <v>INV BCSOSEP20</v>
      </c>
    </row>
    <row r="812" spans="1:8" x14ac:dyDescent="0.25">
      <c r="A812" t="s">
        <v>125</v>
      </c>
      <c r="B812">
        <v>133373</v>
      </c>
      <c r="C812" s="1">
        <v>6</v>
      </c>
      <c r="D812" s="3">
        <v>44117</v>
      </c>
      <c r="E812" t="str">
        <f>"202010069482"</f>
        <v>202010069482</v>
      </c>
      <c r="F812" t="str">
        <f>"ROBERT CLIPPER"</f>
        <v>ROBERT CLIPPER</v>
      </c>
      <c r="G812" s="1">
        <v>6</v>
      </c>
      <c r="H812" t="str">
        <f>"REIMBURSEMENT"</f>
        <v>REIMBURSEMENT</v>
      </c>
    </row>
    <row r="813" spans="1:8" x14ac:dyDescent="0.25">
      <c r="A813" t="s">
        <v>124</v>
      </c>
      <c r="B813">
        <v>3369</v>
      </c>
      <c r="C813" s="1">
        <v>1400</v>
      </c>
      <c r="D813" s="3">
        <v>44118</v>
      </c>
      <c r="E813" t="str">
        <f>"202010019116"</f>
        <v>202010019116</v>
      </c>
      <c r="F813" t="str">
        <f>"17 031"</f>
        <v>17 031</v>
      </c>
      <c r="G813" s="1">
        <v>1400</v>
      </c>
      <c r="H813" t="str">
        <f>"17 031"</f>
        <v>17 031</v>
      </c>
    </row>
    <row r="814" spans="1:8" x14ac:dyDescent="0.25">
      <c r="A814" t="s">
        <v>123</v>
      </c>
      <c r="B814">
        <v>133512</v>
      </c>
      <c r="C814" s="1">
        <v>309.22000000000003</v>
      </c>
      <c r="D814" s="3">
        <v>44130</v>
      </c>
      <c r="E814" t="str">
        <f>"5104142"</f>
        <v>5104142</v>
      </c>
      <c r="F814" t="str">
        <f>"INV 5104142"</f>
        <v>INV 5104142</v>
      </c>
      <c r="G814" s="1">
        <v>63.5</v>
      </c>
      <c r="H814" t="str">
        <f>"INV 5104142"</f>
        <v>INV 5104142</v>
      </c>
    </row>
    <row r="815" spans="1:8" x14ac:dyDescent="0.25">
      <c r="E815" t="str">
        <f>"5106348"</f>
        <v>5106348</v>
      </c>
      <c r="F815" t="str">
        <f>"INV 5106348"</f>
        <v>INV 5106348</v>
      </c>
      <c r="G815" s="1">
        <v>151.32</v>
      </c>
      <c r="H815" t="str">
        <f>"INV 5106348"</f>
        <v>INV 5106348</v>
      </c>
    </row>
    <row r="816" spans="1:8" x14ac:dyDescent="0.25">
      <c r="E816" t="str">
        <f>"5107559"</f>
        <v>5107559</v>
      </c>
      <c r="F816" t="str">
        <f>"CUST ID:90564/ORD#3130216"</f>
        <v>CUST ID:90564/ORD#3130216</v>
      </c>
      <c r="G816" s="1">
        <v>94.4</v>
      </c>
      <c r="H816" t="str">
        <f>"CUST ID:90564/ORD#3130216"</f>
        <v>CUST ID:90564/ORD#3130216</v>
      </c>
    </row>
    <row r="817" spans="1:8" x14ac:dyDescent="0.25">
      <c r="A817" t="s">
        <v>122</v>
      </c>
      <c r="B817">
        <v>133374</v>
      </c>
      <c r="C817" s="1">
        <v>61</v>
      </c>
      <c r="D817" s="3">
        <v>44117</v>
      </c>
      <c r="E817" t="str">
        <f>"202010069498"</f>
        <v>202010069498</v>
      </c>
      <c r="F817" t="str">
        <f>"DEVELOPMENT SVCS RECORDING FEE"</f>
        <v>DEVELOPMENT SVCS RECORDING FEE</v>
      </c>
      <c r="G817" s="1">
        <v>61</v>
      </c>
      <c r="H817" t="str">
        <f>"DEVELOPMENT SVCS RECORDING FEE"</f>
        <v>DEVELOPMENT SVCS RECORDING FEE</v>
      </c>
    </row>
    <row r="818" spans="1:8" x14ac:dyDescent="0.25">
      <c r="A818" t="s">
        <v>121</v>
      </c>
      <c r="B818">
        <v>133375</v>
      </c>
      <c r="C818" s="1">
        <v>111.11</v>
      </c>
      <c r="D818" s="3">
        <v>44117</v>
      </c>
      <c r="E818" t="str">
        <f>"7199CVW"</f>
        <v>7199CVW</v>
      </c>
      <c r="F818" t="str">
        <f>"CUST#9486/BEZEL/PCT#4"</f>
        <v>CUST#9486/BEZEL/PCT#4</v>
      </c>
      <c r="G818" s="1">
        <v>111.11</v>
      </c>
      <c r="H818" t="str">
        <f>"CUST#9486/BEZEL/PCT#4"</f>
        <v>CUST#9486/BEZEL/PCT#4</v>
      </c>
    </row>
    <row r="819" spans="1:8" x14ac:dyDescent="0.25">
      <c r="A819" t="s">
        <v>121</v>
      </c>
      <c r="B819">
        <v>133513</v>
      </c>
      <c r="C819" s="1">
        <v>165.45</v>
      </c>
      <c r="D819" s="3">
        <v>44130</v>
      </c>
      <c r="E819" t="str">
        <f>"CVCS61399"</f>
        <v>CVCS61399</v>
      </c>
      <c r="F819" t="str">
        <f>"CUST#9486/2020 CHEV/PCT#4"</f>
        <v>CUST#9486/2020 CHEV/PCT#4</v>
      </c>
      <c r="G819" s="1">
        <v>58.95</v>
      </c>
      <c r="H819" t="str">
        <f>"CUST#9486/2020 CHEV/PCT#4"</f>
        <v>CUST#9486/2020 CHEV/PCT#4</v>
      </c>
    </row>
    <row r="820" spans="1:8" x14ac:dyDescent="0.25">
      <c r="E820" t="str">
        <f>"CVW7135"</f>
        <v>CVW7135</v>
      </c>
      <c r="F820" t="str">
        <f>"CUST#9486/PARTS/PCT#4"</f>
        <v>CUST#9486/PARTS/PCT#4</v>
      </c>
      <c r="G820" s="1">
        <v>106.5</v>
      </c>
      <c r="H820" t="str">
        <f>"CUST#9486/PARTS/PCT#4"</f>
        <v>CUST#9486/PARTS/PCT#4</v>
      </c>
    </row>
    <row r="821" spans="1:8" x14ac:dyDescent="0.25">
      <c r="A821" t="s">
        <v>120</v>
      </c>
      <c r="B821">
        <v>133514</v>
      </c>
      <c r="C821" s="1">
        <v>170</v>
      </c>
      <c r="D821" s="3">
        <v>44130</v>
      </c>
      <c r="E821" t="str">
        <f>"3020283548"</f>
        <v>3020283548</v>
      </c>
      <c r="F821" t="str">
        <f>"ORD#27110573/PCT#4"</f>
        <v>ORD#27110573/PCT#4</v>
      </c>
      <c r="G821" s="1">
        <v>170</v>
      </c>
      <c r="H821" t="str">
        <f>"ORD#27110573/PCT#4"</f>
        <v>ORD#27110573/PCT#4</v>
      </c>
    </row>
    <row r="822" spans="1:8" x14ac:dyDescent="0.25">
      <c r="A822" t="s">
        <v>119</v>
      </c>
      <c r="B822">
        <v>133376</v>
      </c>
      <c r="C822" s="1">
        <v>400</v>
      </c>
      <c r="D822" s="3">
        <v>44117</v>
      </c>
      <c r="E822" t="str">
        <f>"202010059341"</f>
        <v>202010059341</v>
      </c>
      <c r="F822" t="str">
        <f>"G-332 ATTORNEY AD LITEM"</f>
        <v>G-332 ATTORNEY AD LITEM</v>
      </c>
      <c r="G822" s="1">
        <v>400</v>
      </c>
      <c r="H822" t="str">
        <f>"G-332 ATTORNEY AD LITEM"</f>
        <v>G-332 ATTORNEY AD LITEM</v>
      </c>
    </row>
    <row r="823" spans="1:8" x14ac:dyDescent="0.25">
      <c r="A823" t="s">
        <v>118</v>
      </c>
      <c r="B823">
        <v>133515</v>
      </c>
      <c r="C823" s="1">
        <v>585</v>
      </c>
      <c r="D823" s="3">
        <v>44130</v>
      </c>
      <c r="E823" t="str">
        <f>"70873 70897 71008"</f>
        <v>70873 70897 71008</v>
      </c>
      <c r="F823" t="str">
        <f>"TRAINING"</f>
        <v>TRAINING</v>
      </c>
      <c r="G823" s="1">
        <v>585</v>
      </c>
      <c r="H823" t="str">
        <f>"INV 70873   DELGADO"</f>
        <v>INV 70873   DELGADO</v>
      </c>
    </row>
    <row r="824" spans="1:8" x14ac:dyDescent="0.25">
      <c r="E824" t="str">
        <f>""</f>
        <v/>
      </c>
      <c r="F824" t="str">
        <f>""</f>
        <v/>
      </c>
      <c r="H824" t="str">
        <f>"INV 70897  M. COOK"</f>
        <v>INV 70897  M. COOK</v>
      </c>
    </row>
    <row r="825" spans="1:8" x14ac:dyDescent="0.25">
      <c r="E825" t="str">
        <f>""</f>
        <v/>
      </c>
      <c r="F825" t="str">
        <f>""</f>
        <v/>
      </c>
      <c r="H825" t="str">
        <f>"INV 71008   SHERMAN"</f>
        <v>INV 71008   SHERMAN</v>
      </c>
    </row>
    <row r="826" spans="1:8" x14ac:dyDescent="0.25">
      <c r="A826" t="s">
        <v>117</v>
      </c>
      <c r="B826">
        <v>133516</v>
      </c>
      <c r="C826" s="1">
        <v>230.01</v>
      </c>
      <c r="D826" s="3">
        <v>44130</v>
      </c>
      <c r="E826" t="str">
        <f>"00636_27644"</f>
        <v>00636_27644</v>
      </c>
      <c r="F826" t="str">
        <f>"1999 LEXUS/PCT#1"</f>
        <v>1999 LEXUS/PCT#1</v>
      </c>
      <c r="G826" s="1">
        <v>230.01</v>
      </c>
      <c r="H826" t="str">
        <f>"1999 LEXUS/PCT#1"</f>
        <v>1999 LEXUS/PCT#1</v>
      </c>
    </row>
    <row r="827" spans="1:8" x14ac:dyDescent="0.25">
      <c r="A827" t="s">
        <v>116</v>
      </c>
      <c r="B827">
        <v>3443</v>
      </c>
      <c r="C827" s="1">
        <v>173.46</v>
      </c>
      <c r="D827" s="3">
        <v>44131</v>
      </c>
      <c r="E827" t="str">
        <f>"202010219727"</f>
        <v>202010219727</v>
      </c>
      <c r="F827" t="str">
        <f>"INDIGENT HEALTH"</f>
        <v>INDIGENT HEALTH</v>
      </c>
      <c r="G827" s="1">
        <v>80</v>
      </c>
      <c r="H827" t="str">
        <f>"INDIGENT HEALTH"</f>
        <v>INDIGENT HEALTH</v>
      </c>
    </row>
    <row r="828" spans="1:8" x14ac:dyDescent="0.25">
      <c r="E828" t="str">
        <f>"202010219728"</f>
        <v>202010219728</v>
      </c>
      <c r="F828" t="str">
        <f>"INDIGENT HEALTH"</f>
        <v>INDIGENT HEALTH</v>
      </c>
      <c r="G828" s="1">
        <v>93.46</v>
      </c>
      <c r="H828" t="str">
        <f>"INDIGENT HEALTH"</f>
        <v>INDIGENT HEALTH</v>
      </c>
    </row>
    <row r="829" spans="1:8" x14ac:dyDescent="0.25">
      <c r="A829" t="s">
        <v>115</v>
      </c>
      <c r="B829">
        <v>133517</v>
      </c>
      <c r="C829" s="1">
        <v>40.270000000000003</v>
      </c>
      <c r="D829" s="3">
        <v>44130</v>
      </c>
      <c r="E829" t="str">
        <f>"202010219735"</f>
        <v>202010219735</v>
      </c>
      <c r="F829" t="str">
        <f>"INDIGENT HEALTH"</f>
        <v>INDIGENT HEALTH</v>
      </c>
      <c r="G829" s="1">
        <v>40.270000000000003</v>
      </c>
      <c r="H829" t="str">
        <f>"INDIGENT HEALTH"</f>
        <v>INDIGENT HEALTH</v>
      </c>
    </row>
    <row r="830" spans="1:8" x14ac:dyDescent="0.25">
      <c r="A830" t="s">
        <v>114</v>
      </c>
      <c r="B830">
        <v>133518</v>
      </c>
      <c r="C830" s="1">
        <v>362.16</v>
      </c>
      <c r="D830" s="3">
        <v>44130</v>
      </c>
      <c r="E830" t="str">
        <f>"202010219736"</f>
        <v>202010219736</v>
      </c>
      <c r="F830" t="str">
        <f>"INDIGENT HEALTH"</f>
        <v>INDIGENT HEALTH</v>
      </c>
      <c r="G830" s="1">
        <v>362.16</v>
      </c>
      <c r="H830" t="str">
        <f>"INDIGENT HEALTH"</f>
        <v>INDIGENT HEALTH</v>
      </c>
    </row>
    <row r="831" spans="1:8" x14ac:dyDescent="0.25">
      <c r="A831" t="s">
        <v>113</v>
      </c>
      <c r="B831">
        <v>133377</v>
      </c>
      <c r="C831" s="1">
        <v>3000</v>
      </c>
      <c r="D831" s="3">
        <v>44117</v>
      </c>
      <c r="E831" t="str">
        <f>"202010059349"</f>
        <v>202010059349</v>
      </c>
      <c r="F831" t="str">
        <f>"FY20-21"</f>
        <v>FY20-21</v>
      </c>
      <c r="G831" s="1">
        <v>3000</v>
      </c>
      <c r="H831" t="str">
        <f>"FY20-21"</f>
        <v>FY20-21</v>
      </c>
    </row>
    <row r="832" spans="1:8" x14ac:dyDescent="0.25">
      <c r="A832" t="s">
        <v>112</v>
      </c>
      <c r="B832">
        <v>133519</v>
      </c>
      <c r="C832" s="1">
        <v>12608.5</v>
      </c>
      <c r="D832" s="3">
        <v>44130</v>
      </c>
      <c r="E832" t="str">
        <f>"202010219723"</f>
        <v>202010219723</v>
      </c>
      <c r="F832" t="str">
        <f>"INDIGENT HEALTH"</f>
        <v>INDIGENT HEALTH</v>
      </c>
      <c r="G832" s="1">
        <v>9271.5</v>
      </c>
      <c r="H832" t="str">
        <f>"INDIGENT HEALTH"</f>
        <v>INDIGENT HEALTH</v>
      </c>
    </row>
    <row r="833" spans="1:8" x14ac:dyDescent="0.25">
      <c r="E833" t="str">
        <f>"202010219747"</f>
        <v>202010219747</v>
      </c>
      <c r="F833" t="str">
        <f>"SETON PRESCRIPTION ASSISTANCE"</f>
        <v>SETON PRESCRIPTION ASSISTANCE</v>
      </c>
      <c r="G833" s="1">
        <v>3337</v>
      </c>
      <c r="H833" t="str">
        <f>"SETON PRESCRIPTION ASSISTANCE"</f>
        <v>SETON PRESCRIPTION ASSISTANCE</v>
      </c>
    </row>
    <row r="834" spans="1:8" x14ac:dyDescent="0.25">
      <c r="A834" t="s">
        <v>111</v>
      </c>
      <c r="B834">
        <v>133520</v>
      </c>
      <c r="C834" s="1">
        <v>30</v>
      </c>
      <c r="D834" s="3">
        <v>44130</v>
      </c>
      <c r="E834" t="s">
        <v>110</v>
      </c>
      <c r="F834" s="4" t="str">
        <f>"RESTITUTION - D. MCCOMB"</f>
        <v>RESTITUTION - D. MCCOMB</v>
      </c>
      <c r="G834" s="1">
        <v>30</v>
      </c>
      <c r="H834" t="str">
        <f>"RESTITUTION - D. MCCOMB"</f>
        <v>RESTITUTION - D. MCCOMB</v>
      </c>
    </row>
    <row r="835" spans="1:8" x14ac:dyDescent="0.25">
      <c r="A835" t="s">
        <v>109</v>
      </c>
      <c r="B835">
        <v>133521</v>
      </c>
      <c r="C835" s="1">
        <v>22238</v>
      </c>
      <c r="D835" s="3">
        <v>44130</v>
      </c>
      <c r="E835" t="str">
        <f>"202010209657"</f>
        <v>202010209657</v>
      </c>
      <c r="F835" t="str">
        <f>"Renewal"</f>
        <v>Renewal</v>
      </c>
      <c r="G835" s="1">
        <v>1155</v>
      </c>
      <c r="H835" t="str">
        <f>"Lansweeper Renewal"</f>
        <v>Lansweeper Renewal</v>
      </c>
    </row>
    <row r="836" spans="1:8" x14ac:dyDescent="0.25">
      <c r="E836" t="str">
        <f>"GB00385605"</f>
        <v>GB00385605</v>
      </c>
      <c r="F836" t="str">
        <f>"Renewal"</f>
        <v>Renewal</v>
      </c>
      <c r="G836" s="1">
        <v>7401.17</v>
      </c>
      <c r="H836" t="str">
        <f>"Inv#GB00385605"</f>
        <v>Inv#GB00385605</v>
      </c>
    </row>
    <row r="837" spans="1:8" x14ac:dyDescent="0.25">
      <c r="E837" t="str">
        <f>"GB00386259"</f>
        <v>GB00386259</v>
      </c>
      <c r="F837" t="str">
        <f>"Metallic Office"</f>
        <v>Metallic Office</v>
      </c>
      <c r="G837" s="1">
        <v>12654</v>
      </c>
      <c r="H837" t="str">
        <f>"Metallic Office"</f>
        <v>Metallic Office</v>
      </c>
    </row>
    <row r="838" spans="1:8" x14ac:dyDescent="0.25">
      <c r="E838" t="str">
        <f>"INV#GB00385605"</f>
        <v>INV#GB00385605</v>
      </c>
      <c r="F838" t="str">
        <f>"Adobe"</f>
        <v>Adobe</v>
      </c>
      <c r="G838" s="1">
        <v>1027.83</v>
      </c>
      <c r="H838" t="str">
        <f>"Inv#GB00385605"</f>
        <v>Inv#GB00385605</v>
      </c>
    </row>
    <row r="839" spans="1:8" x14ac:dyDescent="0.25">
      <c r="E839" t="str">
        <f>""</f>
        <v/>
      </c>
      <c r="F839" t="str">
        <f>""</f>
        <v/>
      </c>
      <c r="H839" t="str">
        <f>"Adobe Pro"</f>
        <v>Adobe Pro</v>
      </c>
    </row>
    <row r="840" spans="1:8" x14ac:dyDescent="0.25">
      <c r="A840" t="s">
        <v>108</v>
      </c>
      <c r="B840">
        <v>133378</v>
      </c>
      <c r="C840" s="1">
        <v>1972.77</v>
      </c>
      <c r="D840" s="3">
        <v>44117</v>
      </c>
      <c r="E840" t="str">
        <f>"8129553122"</f>
        <v>8129553122</v>
      </c>
      <c r="F840" t="str">
        <f>"CUST#16158670/1125 DILDY"</f>
        <v>CUST#16158670/1125 DILDY</v>
      </c>
      <c r="G840" s="1">
        <v>71.53</v>
      </c>
      <c r="H840" t="str">
        <f>"CUST#16158670/1125 DILDY"</f>
        <v>CUST#16158670/1125 DILDY</v>
      </c>
    </row>
    <row r="841" spans="1:8" x14ac:dyDescent="0.25">
      <c r="E841" t="str">
        <f>"8180226033"</f>
        <v>8180226033</v>
      </c>
      <c r="F841" t="str">
        <f>"CUST#16158670/1125 DILDY DR"</f>
        <v>CUST#16158670/1125 DILDY DR</v>
      </c>
      <c r="G841" s="1">
        <v>130.56</v>
      </c>
      <c r="H841" t="str">
        <f>"CUST#16158670/1125 DILDY DR"</f>
        <v>CUST#16158670/1125 DILDY DR</v>
      </c>
    </row>
    <row r="842" spans="1:8" x14ac:dyDescent="0.25">
      <c r="E842" t="str">
        <f>"8180605020"</f>
        <v>8180605020</v>
      </c>
      <c r="F842" t="str">
        <f>"INV 8180605020"</f>
        <v>INV 8180605020</v>
      </c>
      <c r="G842" s="1">
        <v>161.04</v>
      </c>
      <c r="H842" t="str">
        <f>"INV 8180605020  (LE)"</f>
        <v>INV 8180605020  (LE)</v>
      </c>
    </row>
    <row r="843" spans="1:8" x14ac:dyDescent="0.25">
      <c r="E843" t="str">
        <f>""</f>
        <v/>
      </c>
      <c r="F843" t="str">
        <f>""</f>
        <v/>
      </c>
      <c r="H843" t="str">
        <f>"INV 8180605020  (JAI"</f>
        <v>INV 8180605020  (JAI</v>
      </c>
    </row>
    <row r="844" spans="1:8" x14ac:dyDescent="0.25">
      <c r="E844" t="str">
        <f>"8180605460"</f>
        <v>8180605460</v>
      </c>
      <c r="F844" t="str">
        <f>"CUST#16153955/ELECTIONS"</f>
        <v>CUST#16153955/ELECTIONS</v>
      </c>
      <c r="G844" s="1">
        <v>1055.7</v>
      </c>
      <c r="H844" t="str">
        <f>"CUST#16153955/ELECTIONS"</f>
        <v>CUST#16153955/ELECTIONS</v>
      </c>
    </row>
    <row r="845" spans="1:8" x14ac:dyDescent="0.25">
      <c r="E845" t="str">
        <f>"8180605518"</f>
        <v>8180605518</v>
      </c>
      <c r="F845" t="str">
        <f>"CUST#16155373/PURCHASING DEPT"</f>
        <v>CUST#16155373/PURCHASING DEPT</v>
      </c>
      <c r="G845" s="1">
        <v>126.78</v>
      </c>
      <c r="H845" t="str">
        <f>"CUST#16155373/PURCHASING DEPT"</f>
        <v>CUST#16155373/PURCHASING DEPT</v>
      </c>
    </row>
    <row r="846" spans="1:8" x14ac:dyDescent="0.25">
      <c r="E846" t="str">
        <f>""</f>
        <v/>
      </c>
      <c r="F846" t="str">
        <f>""</f>
        <v/>
      </c>
      <c r="H846" t="str">
        <f>"CUST#16155373/PURCHASING DEPT"</f>
        <v>CUST#16155373/PURCHASING DEPT</v>
      </c>
    </row>
    <row r="847" spans="1:8" x14ac:dyDescent="0.25">
      <c r="E847" t="str">
        <f>""</f>
        <v/>
      </c>
      <c r="F847" t="str">
        <f>""</f>
        <v/>
      </c>
      <c r="H847" t="str">
        <f>"CUST#16155373/PURCHASING DEPT"</f>
        <v>CUST#16155373/PURCHASING DEPT</v>
      </c>
    </row>
    <row r="848" spans="1:8" x14ac:dyDescent="0.25">
      <c r="E848" t="str">
        <f>""</f>
        <v/>
      </c>
      <c r="F848" t="str">
        <f>""</f>
        <v/>
      </c>
      <c r="H848" t="str">
        <f>"CUST#16155373/PURCHASING DEPT"</f>
        <v>CUST#16155373/PURCHASING DEPT</v>
      </c>
    </row>
    <row r="849" spans="1:8" x14ac:dyDescent="0.25">
      <c r="E849" t="str">
        <f>""</f>
        <v/>
      </c>
      <c r="F849" t="str">
        <f>""</f>
        <v/>
      </c>
      <c r="H849" t="str">
        <f>"CUST#16155373/PURCHASING DEPT"</f>
        <v>CUST#16155373/PURCHASING DEPT</v>
      </c>
    </row>
    <row r="850" spans="1:8" x14ac:dyDescent="0.25">
      <c r="E850" t="str">
        <f>""</f>
        <v/>
      </c>
      <c r="F850" t="str">
        <f>""</f>
        <v/>
      </c>
      <c r="H850" t="str">
        <f>"CUST#16155373/PURCHASING DEPT"</f>
        <v>CUST#16155373/PURCHASING DEPT</v>
      </c>
    </row>
    <row r="851" spans="1:8" x14ac:dyDescent="0.25">
      <c r="E851" t="str">
        <f>"8180605554"</f>
        <v>8180605554</v>
      </c>
      <c r="F851" t="str">
        <f>"CUST#16156071/TAX OFFICE"</f>
        <v>CUST#16156071/TAX OFFICE</v>
      </c>
      <c r="G851" s="1">
        <v>84.48</v>
      </c>
      <c r="H851" t="str">
        <f>"CUST#16156071/TAX OFFICE"</f>
        <v>CUST#16156071/TAX OFFICE</v>
      </c>
    </row>
    <row r="852" spans="1:8" x14ac:dyDescent="0.25">
      <c r="E852" t="str">
        <f>"8180605628"</f>
        <v>8180605628</v>
      </c>
      <c r="F852" t="str">
        <f>"CUST#16158670/JP4"</f>
        <v>CUST#16158670/JP4</v>
      </c>
      <c r="G852" s="1">
        <v>270.08</v>
      </c>
      <c r="H852" t="str">
        <f>"CUST#16158670/JP4"</f>
        <v>CUST#16158670/JP4</v>
      </c>
    </row>
    <row r="853" spans="1:8" x14ac:dyDescent="0.25">
      <c r="E853" t="str">
        <f>"8180605737"</f>
        <v>8180605737</v>
      </c>
      <c r="F853" t="str">
        <f>"CUST#16160327/INDIGENT HEALTH"</f>
        <v>CUST#16160327/INDIGENT HEALTH</v>
      </c>
      <c r="G853" s="1">
        <v>72.599999999999994</v>
      </c>
      <c r="H853" t="str">
        <f>"CUST#16160327/INDIGENT HEALTH"</f>
        <v>CUST#16160327/INDIGENT HEALTH</v>
      </c>
    </row>
    <row r="854" spans="1:8" x14ac:dyDescent="0.25">
      <c r="E854" t="str">
        <f>""</f>
        <v/>
      </c>
      <c r="F854" t="str">
        <f>""</f>
        <v/>
      </c>
      <c r="H854" t="str">
        <f>"CUST#16160327/INDIGENT HEALTH"</f>
        <v>CUST#16160327/INDIGENT HEALTH</v>
      </c>
    </row>
    <row r="855" spans="1:8" x14ac:dyDescent="0.25">
      <c r="A855" t="s">
        <v>107</v>
      </c>
      <c r="B855">
        <v>3418</v>
      </c>
      <c r="C855" s="1">
        <v>320</v>
      </c>
      <c r="D855" s="3">
        <v>44131</v>
      </c>
      <c r="E855" t="str">
        <f>"991021"</f>
        <v>991021</v>
      </c>
      <c r="F855" t="str">
        <f>"PUMPED&amp;CLEANED SEPTIC TANK/FIL"</f>
        <v>PUMPED&amp;CLEANED SEPTIC TANK/FIL</v>
      </c>
      <c r="G855" s="1">
        <v>320</v>
      </c>
      <c r="H855" t="str">
        <f>"PUMPED&amp;CLEANED SEPTIC TANK/FIL"</f>
        <v>PUMPED&amp;CLEANED SEPTIC TANK/FIL</v>
      </c>
    </row>
    <row r="856" spans="1:8" x14ac:dyDescent="0.25">
      <c r="A856" t="s">
        <v>106</v>
      </c>
      <c r="B856">
        <v>133379</v>
      </c>
      <c r="C856" s="1">
        <v>155.30000000000001</v>
      </c>
      <c r="D856" s="3">
        <v>44117</v>
      </c>
      <c r="E856" t="str">
        <f>"202010069486"</f>
        <v>202010069486</v>
      </c>
      <c r="F856" t="str">
        <f>"JAIL MEDICAL"</f>
        <v>JAIL MEDICAL</v>
      </c>
      <c r="G856" s="1">
        <v>155.30000000000001</v>
      </c>
      <c r="H856" t="str">
        <f>"JAIL MEDICAL"</f>
        <v>JAIL MEDICAL</v>
      </c>
    </row>
    <row r="857" spans="1:8" x14ac:dyDescent="0.25">
      <c r="A857" t="s">
        <v>106</v>
      </c>
      <c r="B857">
        <v>133522</v>
      </c>
      <c r="C857" s="1">
        <v>85.8</v>
      </c>
      <c r="D857" s="3">
        <v>44130</v>
      </c>
      <c r="E857" t="str">
        <f>"202010219738"</f>
        <v>202010219738</v>
      </c>
      <c r="F857" t="str">
        <f>"INDIGENT HEALTH"</f>
        <v>INDIGENT HEALTH</v>
      </c>
      <c r="G857" s="1">
        <v>85.8</v>
      </c>
      <c r="H857" t="str">
        <f>"INDIGENT HEALTH"</f>
        <v>INDIGENT HEALTH</v>
      </c>
    </row>
    <row r="858" spans="1:8" x14ac:dyDescent="0.25">
      <c r="A858" t="s">
        <v>105</v>
      </c>
      <c r="B858">
        <v>3422</v>
      </c>
      <c r="C858" s="1">
        <v>6445.86</v>
      </c>
      <c r="D858" s="3">
        <v>44131</v>
      </c>
      <c r="E858" t="str">
        <f>"105465"</f>
        <v>105465</v>
      </c>
      <c r="F858" t="str">
        <f>"INV 105465"</f>
        <v>INV 105465</v>
      </c>
      <c r="G858" s="1">
        <v>6445.86</v>
      </c>
      <c r="H858" t="str">
        <f>"INV 105465"</f>
        <v>INV 105465</v>
      </c>
    </row>
    <row r="859" spans="1:8" x14ac:dyDescent="0.25">
      <c r="A859" t="s">
        <v>104</v>
      </c>
      <c r="B859">
        <v>133380</v>
      </c>
      <c r="C859" s="1">
        <v>71.3</v>
      </c>
      <c r="D859" s="3">
        <v>44117</v>
      </c>
      <c r="E859" t="str">
        <f>"34474"</f>
        <v>34474</v>
      </c>
      <c r="F859" t="str">
        <f>"SUPPLIES/PCT#2"</f>
        <v>SUPPLIES/PCT#2</v>
      </c>
      <c r="G859" s="1">
        <v>71.3</v>
      </c>
      <c r="H859" t="str">
        <f>"SUPPLIES/PCT#2"</f>
        <v>SUPPLIES/PCT#2</v>
      </c>
    </row>
    <row r="860" spans="1:8" x14ac:dyDescent="0.25">
      <c r="A860" t="s">
        <v>103</v>
      </c>
      <c r="B860">
        <v>133381</v>
      </c>
      <c r="C860" s="1">
        <v>1174.74</v>
      </c>
      <c r="D860" s="3">
        <v>44117</v>
      </c>
      <c r="E860" t="str">
        <f>"202010069468"</f>
        <v>202010069468</v>
      </c>
      <c r="F860" t="str">
        <f>"ACCT#260/PCT#2"</f>
        <v>ACCT#260/PCT#2</v>
      </c>
      <c r="G860" s="1">
        <v>1174.74</v>
      </c>
      <c r="H860" t="str">
        <f>"ACCT#260/PCT#2"</f>
        <v>ACCT#260/PCT#2</v>
      </c>
    </row>
    <row r="861" spans="1:8" x14ac:dyDescent="0.25">
      <c r="A861" t="s">
        <v>102</v>
      </c>
      <c r="B861">
        <v>133382</v>
      </c>
      <c r="C861" s="1">
        <v>7000</v>
      </c>
      <c r="D861" s="3">
        <v>44117</v>
      </c>
      <c r="E861" t="str">
        <f>"202010059342"</f>
        <v>202010059342</v>
      </c>
      <c r="F861" t="str">
        <f>"FY 20-21"</f>
        <v>FY 20-21</v>
      </c>
      <c r="G861" s="1">
        <v>7000</v>
      </c>
      <c r="H861" t="str">
        <f>"FY 20-21"</f>
        <v>FY 20-21</v>
      </c>
    </row>
    <row r="862" spans="1:8" x14ac:dyDescent="0.25">
      <c r="A862" t="s">
        <v>101</v>
      </c>
      <c r="B862">
        <v>133383</v>
      </c>
      <c r="C862" s="1">
        <v>15000</v>
      </c>
      <c r="D862" s="3">
        <v>44117</v>
      </c>
      <c r="E862" t="str">
        <f>"202010069403"</f>
        <v>202010069403</v>
      </c>
      <c r="F862" t="str">
        <f>"FY20-21"</f>
        <v>FY20-21</v>
      </c>
      <c r="G862" s="1">
        <v>15000</v>
      </c>
      <c r="H862" t="str">
        <f>"FY20-21"</f>
        <v>FY20-21</v>
      </c>
    </row>
    <row r="863" spans="1:8" x14ac:dyDescent="0.25">
      <c r="A863" t="s">
        <v>100</v>
      </c>
      <c r="B863">
        <v>133384</v>
      </c>
      <c r="C863" s="1">
        <v>7507.5</v>
      </c>
      <c r="D863" s="3">
        <v>44117</v>
      </c>
      <c r="E863" t="str">
        <f>"00857"</f>
        <v>00857</v>
      </c>
      <c r="F863" t="str">
        <f>"ENR &amp; VOTER EDUCATION YR 1"</f>
        <v>ENR &amp; VOTER EDUCATION YR 1</v>
      </c>
      <c r="G863" s="1">
        <v>7507.5</v>
      </c>
      <c r="H863" t="str">
        <f>"ENR &amp; VOTER EDUCATION YR 1"</f>
        <v>ENR &amp; VOTER EDUCATION YR 1</v>
      </c>
    </row>
    <row r="864" spans="1:8" x14ac:dyDescent="0.25">
      <c r="A864" t="s">
        <v>99</v>
      </c>
      <c r="B864">
        <v>133385</v>
      </c>
      <c r="C864" s="1">
        <v>387.19</v>
      </c>
      <c r="D864" s="3">
        <v>44117</v>
      </c>
      <c r="E864" t="str">
        <f>"4650057084"</f>
        <v>4650057084</v>
      </c>
      <c r="F864" t="str">
        <f>"CUST#0052157/PCT#4"</f>
        <v>CUST#0052157/PCT#4</v>
      </c>
      <c r="G864" s="1">
        <v>387.19</v>
      </c>
      <c r="H864" t="str">
        <f>"CUST#0052157/PCT#4"</f>
        <v>CUST#0052157/PCT#4</v>
      </c>
    </row>
    <row r="865" spans="1:8" x14ac:dyDescent="0.25">
      <c r="A865" t="s">
        <v>99</v>
      </c>
      <c r="B865">
        <v>133523</v>
      </c>
      <c r="C865" s="1">
        <v>9897.7900000000009</v>
      </c>
      <c r="D865" s="3">
        <v>44130</v>
      </c>
      <c r="E865" t="str">
        <f>"4240018839"</f>
        <v>4240018839</v>
      </c>
      <c r="F865" t="str">
        <f>"INV 4240018839"</f>
        <v>INV 4240018839</v>
      </c>
      <c r="G865" s="1">
        <v>1263.32</v>
      </c>
      <c r="H865" t="str">
        <f>"INV 4240018839"</f>
        <v>INV 4240018839</v>
      </c>
    </row>
    <row r="866" spans="1:8" x14ac:dyDescent="0.25">
      <c r="E866" t="str">
        <f>""</f>
        <v/>
      </c>
      <c r="F866" t="str">
        <f>""</f>
        <v/>
      </c>
      <c r="H866" t="str">
        <f>"INV 4240018839"</f>
        <v>INV 4240018839</v>
      </c>
    </row>
    <row r="867" spans="1:8" x14ac:dyDescent="0.25">
      <c r="E867" t="str">
        <f>"4240018841"</f>
        <v>4240018841</v>
      </c>
      <c r="F867" t="str">
        <f>"INV 4240018841"</f>
        <v>INV 4240018841</v>
      </c>
      <c r="G867" s="1">
        <v>1109.32</v>
      </c>
      <c r="H867" t="str">
        <f>"INV 4240018841"</f>
        <v>INV 4240018841</v>
      </c>
    </row>
    <row r="868" spans="1:8" x14ac:dyDescent="0.25">
      <c r="E868" t="str">
        <f>"4650058147"</f>
        <v>4650058147</v>
      </c>
      <c r="F868" t="str">
        <f>"CUST#0052157/PCT#3"</f>
        <v>CUST#0052157/PCT#3</v>
      </c>
      <c r="G868" s="1">
        <v>7525.15</v>
      </c>
      <c r="H868" t="str">
        <f>"CUST#0052157/PCT#3"</f>
        <v>CUST#0052157/PCT#3</v>
      </c>
    </row>
    <row r="869" spans="1:8" x14ac:dyDescent="0.25">
      <c r="A869" t="s">
        <v>98</v>
      </c>
      <c r="B869">
        <v>133386</v>
      </c>
      <c r="C869" s="1">
        <v>1422</v>
      </c>
      <c r="D869" s="3">
        <v>44117</v>
      </c>
      <c r="E869" t="str">
        <f>"2805"</f>
        <v>2805</v>
      </c>
      <c r="F869" t="str">
        <f>"ACCT#BASTROP/MISC JOBS 2021"</f>
        <v>ACCT#BASTROP/MISC JOBS 2021</v>
      </c>
      <c r="G869" s="1">
        <v>1422</v>
      </c>
      <c r="H869" t="str">
        <f>"ACCT#BASTROP/MISC JOBS 2021"</f>
        <v>ACCT#BASTROP/MISC JOBS 2021</v>
      </c>
    </row>
    <row r="870" spans="1:8" x14ac:dyDescent="0.25">
      <c r="A870" t="s">
        <v>97</v>
      </c>
      <c r="B870">
        <v>133524</v>
      </c>
      <c r="C870" s="1">
        <v>159.24</v>
      </c>
      <c r="D870" s="3">
        <v>44130</v>
      </c>
      <c r="E870" t="str">
        <f>"202010219734"</f>
        <v>202010219734</v>
      </c>
      <c r="F870" t="str">
        <f>"INDIGENT HEALTH"</f>
        <v>INDIGENT HEALTH</v>
      </c>
      <c r="G870" s="1">
        <v>159.24</v>
      </c>
      <c r="H870" t="str">
        <f>"INDIGENT HEALTH"</f>
        <v>INDIGENT HEALTH</v>
      </c>
    </row>
    <row r="871" spans="1:8" x14ac:dyDescent="0.25">
      <c r="A871" t="s">
        <v>96</v>
      </c>
      <c r="B871">
        <v>133525</v>
      </c>
      <c r="C871" s="1">
        <v>80.069999999999993</v>
      </c>
      <c r="D871" s="3">
        <v>44130</v>
      </c>
      <c r="E871" t="str">
        <f>"202010149587"</f>
        <v>202010149587</v>
      </c>
      <c r="F871" t="str">
        <f>"ACCT#556850411969495/CUST#5568"</f>
        <v>ACCT#556850411969495/CUST#5568</v>
      </c>
      <c r="G871" s="1">
        <v>80.069999999999993</v>
      </c>
      <c r="H871" t="str">
        <f>"ACCT#556850411969495/CUST#5568"</f>
        <v>ACCT#556850411969495/CUST#5568</v>
      </c>
    </row>
    <row r="872" spans="1:8" x14ac:dyDescent="0.25">
      <c r="A872" t="s">
        <v>17</v>
      </c>
      <c r="B872">
        <v>133387</v>
      </c>
      <c r="C872" s="1">
        <v>966.86</v>
      </c>
      <c r="D872" s="3">
        <v>44117</v>
      </c>
      <c r="E872" t="str">
        <f>"8059666902"</f>
        <v>8059666902</v>
      </c>
      <c r="F872" t="str">
        <f>"Statement"</f>
        <v>Statement</v>
      </c>
      <c r="G872" s="1">
        <v>966.86</v>
      </c>
      <c r="H872" t="str">
        <f>"3456551924"</f>
        <v>3456551924</v>
      </c>
    </row>
    <row r="873" spans="1:8" x14ac:dyDescent="0.25">
      <c r="E873" t="str">
        <f>""</f>
        <v/>
      </c>
      <c r="F873" t="str">
        <f>""</f>
        <v/>
      </c>
      <c r="H873" t="str">
        <f>"3456551922"</f>
        <v>3456551922</v>
      </c>
    </row>
    <row r="874" spans="1:8" x14ac:dyDescent="0.25">
      <c r="E874" t="str">
        <f>""</f>
        <v/>
      </c>
      <c r="F874" t="str">
        <f>""</f>
        <v/>
      </c>
      <c r="H874" t="str">
        <f>"3456551923"</f>
        <v>3456551923</v>
      </c>
    </row>
    <row r="875" spans="1:8" x14ac:dyDescent="0.25">
      <c r="E875" t="str">
        <f>""</f>
        <v/>
      </c>
      <c r="F875" t="str">
        <f>""</f>
        <v/>
      </c>
      <c r="H875" t="str">
        <f>"3456551929"</f>
        <v>3456551929</v>
      </c>
    </row>
    <row r="876" spans="1:8" x14ac:dyDescent="0.25">
      <c r="E876" t="str">
        <f>""</f>
        <v/>
      </c>
      <c r="F876" t="str">
        <f>""</f>
        <v/>
      </c>
      <c r="H876" t="str">
        <f>"3456551920"</f>
        <v>3456551920</v>
      </c>
    </row>
    <row r="877" spans="1:8" x14ac:dyDescent="0.25">
      <c r="A877" t="s">
        <v>17</v>
      </c>
      <c r="B877">
        <v>133526</v>
      </c>
      <c r="C877" s="1">
        <v>3681.77</v>
      </c>
      <c r="D877" s="3">
        <v>44130</v>
      </c>
      <c r="E877" t="str">
        <f>"202010209663"</f>
        <v>202010209663</v>
      </c>
      <c r="F877" t="str">
        <f>"Statement"</f>
        <v>Statement</v>
      </c>
      <c r="G877" s="1">
        <v>3675.39</v>
      </c>
      <c r="H877" t="str">
        <f>"3457984372"</f>
        <v>3457984372</v>
      </c>
    </row>
    <row r="878" spans="1:8" x14ac:dyDescent="0.25">
      <c r="E878" t="str">
        <f>""</f>
        <v/>
      </c>
      <c r="F878" t="str">
        <f>""</f>
        <v/>
      </c>
      <c r="H878" t="str">
        <f>"3457984374"</f>
        <v>3457984374</v>
      </c>
    </row>
    <row r="879" spans="1:8" x14ac:dyDescent="0.25">
      <c r="E879" t="str">
        <f>""</f>
        <v/>
      </c>
      <c r="F879" t="str">
        <f>""</f>
        <v/>
      </c>
      <c r="H879" t="str">
        <f>"3457984375"</f>
        <v>3457984375</v>
      </c>
    </row>
    <row r="880" spans="1:8" x14ac:dyDescent="0.25">
      <c r="E880" t="str">
        <f>""</f>
        <v/>
      </c>
      <c r="F880" t="str">
        <f>""</f>
        <v/>
      </c>
      <c r="H880" t="str">
        <f>"3457984376"</f>
        <v>3457984376</v>
      </c>
    </row>
    <row r="881" spans="5:8" x14ac:dyDescent="0.25">
      <c r="E881" t="str">
        <f>""</f>
        <v/>
      </c>
      <c r="F881" t="str">
        <f>""</f>
        <v/>
      </c>
      <c r="H881" t="str">
        <f>"3457984377"</f>
        <v>3457984377</v>
      </c>
    </row>
    <row r="882" spans="5:8" x14ac:dyDescent="0.25">
      <c r="E882" t="str">
        <f>""</f>
        <v/>
      </c>
      <c r="F882" t="str">
        <f>""</f>
        <v/>
      </c>
      <c r="H882" t="str">
        <f>"3457984381"</f>
        <v>3457984381</v>
      </c>
    </row>
    <row r="883" spans="5:8" x14ac:dyDescent="0.25">
      <c r="E883" t="str">
        <f>""</f>
        <v/>
      </c>
      <c r="F883" t="str">
        <f>""</f>
        <v/>
      </c>
      <c r="H883" t="str">
        <f>"3457984382"</f>
        <v>3457984382</v>
      </c>
    </row>
    <row r="884" spans="5:8" x14ac:dyDescent="0.25">
      <c r="E884" t="str">
        <f>""</f>
        <v/>
      </c>
      <c r="F884" t="str">
        <f>""</f>
        <v/>
      </c>
      <c r="H884" t="str">
        <f>"3457984366"</f>
        <v>3457984366</v>
      </c>
    </row>
    <row r="885" spans="5:8" x14ac:dyDescent="0.25">
      <c r="E885" t="str">
        <f>""</f>
        <v/>
      </c>
      <c r="F885" t="str">
        <f>""</f>
        <v/>
      </c>
      <c r="H885" t="str">
        <f>"3457984367"</f>
        <v>3457984367</v>
      </c>
    </row>
    <row r="886" spans="5:8" x14ac:dyDescent="0.25">
      <c r="E886" t="str">
        <f>""</f>
        <v/>
      </c>
      <c r="F886" t="str">
        <f>""</f>
        <v/>
      </c>
      <c r="H886" t="str">
        <f>"3457984368"</f>
        <v>3457984368</v>
      </c>
    </row>
    <row r="887" spans="5:8" x14ac:dyDescent="0.25">
      <c r="E887" t="str">
        <f>""</f>
        <v/>
      </c>
      <c r="F887" t="str">
        <f>""</f>
        <v/>
      </c>
      <c r="H887" t="str">
        <f>"3457984369"</f>
        <v>3457984369</v>
      </c>
    </row>
    <row r="888" spans="5:8" x14ac:dyDescent="0.25">
      <c r="E888" t="str">
        <f>""</f>
        <v/>
      </c>
      <c r="F888" t="str">
        <f>""</f>
        <v/>
      </c>
      <c r="H888" t="str">
        <f>"3457984370"</f>
        <v>3457984370</v>
      </c>
    </row>
    <row r="889" spans="5:8" x14ac:dyDescent="0.25">
      <c r="E889" t="str">
        <f>""</f>
        <v/>
      </c>
      <c r="F889" t="str">
        <f>""</f>
        <v/>
      </c>
      <c r="H889" t="str">
        <f>"3457984371"</f>
        <v>3457984371</v>
      </c>
    </row>
    <row r="890" spans="5:8" x14ac:dyDescent="0.25">
      <c r="E890" t="str">
        <f>""</f>
        <v/>
      </c>
      <c r="F890" t="str">
        <f>""</f>
        <v/>
      </c>
      <c r="H890" t="str">
        <f>"3457984378"</f>
        <v>3457984378</v>
      </c>
    </row>
    <row r="891" spans="5:8" x14ac:dyDescent="0.25">
      <c r="E891" t="str">
        <f>""</f>
        <v/>
      </c>
      <c r="F891" t="str">
        <f>""</f>
        <v/>
      </c>
      <c r="H891" t="str">
        <f>"3457984380"</f>
        <v>3457984380</v>
      </c>
    </row>
    <row r="892" spans="5:8" x14ac:dyDescent="0.25">
      <c r="E892" t="str">
        <f>""</f>
        <v/>
      </c>
      <c r="F892" t="str">
        <f>""</f>
        <v/>
      </c>
      <c r="H892" t="str">
        <f>"3457984360"</f>
        <v>3457984360</v>
      </c>
    </row>
    <row r="893" spans="5:8" x14ac:dyDescent="0.25">
      <c r="E893" t="str">
        <f>""</f>
        <v/>
      </c>
      <c r="F893" t="str">
        <f>""</f>
        <v/>
      </c>
      <c r="H893" t="str">
        <f>"3457984363"</f>
        <v>3457984363</v>
      </c>
    </row>
    <row r="894" spans="5:8" x14ac:dyDescent="0.25">
      <c r="E894" t="str">
        <f>""</f>
        <v/>
      </c>
      <c r="F894" t="str">
        <f>""</f>
        <v/>
      </c>
      <c r="H894" t="str">
        <f>"3457984364"</f>
        <v>3457984364</v>
      </c>
    </row>
    <row r="895" spans="5:8" x14ac:dyDescent="0.25">
      <c r="E895" t="str">
        <f>""</f>
        <v/>
      </c>
      <c r="F895" t="str">
        <f>""</f>
        <v/>
      </c>
      <c r="H895" t="str">
        <f>"3457984392"</f>
        <v>3457984392</v>
      </c>
    </row>
    <row r="896" spans="5:8" x14ac:dyDescent="0.25">
      <c r="E896" t="str">
        <f>""</f>
        <v/>
      </c>
      <c r="F896" t="str">
        <f>""</f>
        <v/>
      </c>
      <c r="H896" t="str">
        <f>"3457984393"</f>
        <v>3457984393</v>
      </c>
    </row>
    <row r="897" spans="1:8" x14ac:dyDescent="0.25">
      <c r="E897" t="str">
        <f>""</f>
        <v/>
      </c>
      <c r="F897" t="str">
        <f>""</f>
        <v/>
      </c>
      <c r="H897" t="str">
        <f>"3457984387"</f>
        <v>3457984387</v>
      </c>
    </row>
    <row r="898" spans="1:8" x14ac:dyDescent="0.25">
      <c r="E898" t="str">
        <f>""</f>
        <v/>
      </c>
      <c r="F898" t="str">
        <f>""</f>
        <v/>
      </c>
      <c r="H898" t="str">
        <f>"3457984388"</f>
        <v>3457984388</v>
      </c>
    </row>
    <row r="899" spans="1:8" x14ac:dyDescent="0.25">
      <c r="E899" t="str">
        <f>""</f>
        <v/>
      </c>
      <c r="F899" t="str">
        <f>""</f>
        <v/>
      </c>
      <c r="H899" t="str">
        <f>"3457984389"</f>
        <v>3457984389</v>
      </c>
    </row>
    <row r="900" spans="1:8" x14ac:dyDescent="0.25">
      <c r="E900" t="str">
        <f>""</f>
        <v/>
      </c>
      <c r="F900" t="str">
        <f>""</f>
        <v/>
      </c>
      <c r="H900" t="str">
        <f>"3457984390"</f>
        <v>3457984390</v>
      </c>
    </row>
    <row r="901" spans="1:8" x14ac:dyDescent="0.25">
      <c r="E901" t="str">
        <f>""</f>
        <v/>
      </c>
      <c r="F901" t="str">
        <f>""</f>
        <v/>
      </c>
      <c r="H901" t="str">
        <f>"3457984391"</f>
        <v>3457984391</v>
      </c>
    </row>
    <row r="902" spans="1:8" x14ac:dyDescent="0.25">
      <c r="E902" t="str">
        <f>""</f>
        <v/>
      </c>
      <c r="F902" t="str">
        <f>""</f>
        <v/>
      </c>
      <c r="H902" t="str">
        <f>"3457984383"</f>
        <v>3457984383</v>
      </c>
    </row>
    <row r="903" spans="1:8" x14ac:dyDescent="0.25">
      <c r="E903" t="str">
        <f>""</f>
        <v/>
      </c>
      <c r="F903" t="str">
        <f>""</f>
        <v/>
      </c>
      <c r="H903" t="str">
        <f>"3457984386"</f>
        <v>3457984386</v>
      </c>
    </row>
    <row r="904" spans="1:8" x14ac:dyDescent="0.25">
      <c r="E904" t="str">
        <f>""</f>
        <v/>
      </c>
      <c r="F904" t="str">
        <f>""</f>
        <v/>
      </c>
      <c r="H904" t="str">
        <f>"3457984365"</f>
        <v>3457984365</v>
      </c>
    </row>
    <row r="905" spans="1:8" x14ac:dyDescent="0.25">
      <c r="E905" t="str">
        <f>""</f>
        <v/>
      </c>
      <c r="F905" t="str">
        <f>""</f>
        <v/>
      </c>
      <c r="H905" t="str">
        <f>"3457984357"</f>
        <v>3457984357</v>
      </c>
    </row>
    <row r="906" spans="1:8" x14ac:dyDescent="0.25">
      <c r="E906" t="str">
        <f>""</f>
        <v/>
      </c>
      <c r="F906" t="str">
        <f>""</f>
        <v/>
      </c>
      <c r="H906" t="str">
        <f>"3457984358"</f>
        <v>3457984358</v>
      </c>
    </row>
    <row r="907" spans="1:8" x14ac:dyDescent="0.25">
      <c r="E907" t="str">
        <f>"202010219760"</f>
        <v>202010219760</v>
      </c>
      <c r="F907" t="str">
        <f>"Statement"</f>
        <v>Statement</v>
      </c>
      <c r="G907" s="1">
        <v>6.38</v>
      </c>
      <c r="H907" t="str">
        <f>"3457984359"</f>
        <v>3457984359</v>
      </c>
    </row>
    <row r="908" spans="1:8" x14ac:dyDescent="0.25">
      <c r="A908" t="s">
        <v>95</v>
      </c>
      <c r="B908">
        <v>133423</v>
      </c>
      <c r="C908" s="1">
        <v>35</v>
      </c>
      <c r="D908" s="3">
        <v>44125</v>
      </c>
      <c r="E908" t="str">
        <f>"202010219759"</f>
        <v>202010219759</v>
      </c>
      <c r="F908" t="str">
        <f>"2020 TX HOME VISITING PROGRAM"</f>
        <v>2020 TX HOME VISITING PROGRAM</v>
      </c>
      <c r="G908" s="1">
        <v>35</v>
      </c>
      <c r="H908" t="str">
        <f>"2020 TX HOME VISITING PROGRAM"</f>
        <v>2020 TX HOME VISITING PROGRAM</v>
      </c>
    </row>
    <row r="909" spans="1:8" x14ac:dyDescent="0.25">
      <c r="A909" t="s">
        <v>94</v>
      </c>
      <c r="B909">
        <v>133527</v>
      </c>
      <c r="C909" s="1">
        <v>430.36</v>
      </c>
      <c r="D909" s="3">
        <v>44130</v>
      </c>
      <c r="E909" t="str">
        <f>"202010149585"</f>
        <v>202010149585</v>
      </c>
      <c r="F909" t="str">
        <f>"MONTH OF SEPTEMBER 2020"</f>
        <v>MONTH OF SEPTEMBER 2020</v>
      </c>
      <c r="G909" s="1">
        <v>430.36</v>
      </c>
      <c r="H909" t="str">
        <f>"MONTH OF SEPTEMBER 2020"</f>
        <v>MONTH OF SEPTEMBER 2020</v>
      </c>
    </row>
    <row r="910" spans="1:8" x14ac:dyDescent="0.25">
      <c r="A910" t="s">
        <v>93</v>
      </c>
      <c r="B910">
        <v>133388</v>
      </c>
      <c r="C910" s="1">
        <v>4500</v>
      </c>
      <c r="D910" s="3">
        <v>44117</v>
      </c>
      <c r="E910" t="str">
        <f>"1008844"</f>
        <v>1008844</v>
      </c>
      <c r="F910" t="str">
        <f>"CONTRACT#20800-P7 2019"</f>
        <v>CONTRACT#20800-P7 2019</v>
      </c>
      <c r="G910" s="1">
        <v>4500</v>
      </c>
      <c r="H910" t="str">
        <f>"CONTRACT#20800-P7 2019"</f>
        <v>CONTRACT#20800-P7 2019</v>
      </c>
    </row>
    <row r="911" spans="1:8" x14ac:dyDescent="0.25">
      <c r="A911" t="s">
        <v>93</v>
      </c>
      <c r="B911">
        <v>133528</v>
      </c>
      <c r="C911" s="1">
        <v>3062.19</v>
      </c>
      <c r="D911" s="3">
        <v>44130</v>
      </c>
      <c r="E911" t="str">
        <f>"1009010"</f>
        <v>1009010</v>
      </c>
      <c r="F911" t="str">
        <f>"CON#7219021/PROJ#20800-P7-2019"</f>
        <v>CON#7219021/PROJ#20800-P7-2019</v>
      </c>
      <c r="G911" s="1">
        <v>3062.19</v>
      </c>
      <c r="H911" t="str">
        <f>"CON#7219021/PROJ#20800-P7-2019"</f>
        <v>CON#7219021/PROJ#20800-P7-2019</v>
      </c>
    </row>
    <row r="912" spans="1:8" x14ac:dyDescent="0.25">
      <c r="A912" t="s">
        <v>92</v>
      </c>
      <c r="B912">
        <v>133529</v>
      </c>
      <c r="C912" s="1">
        <v>100</v>
      </c>
      <c r="D912" s="3">
        <v>44130</v>
      </c>
      <c r="E912" t="str">
        <f>"202010199624"</f>
        <v>202010199624</v>
      </c>
      <c r="F912" t="str">
        <f>"SANCTION AMOUNT RETURNED"</f>
        <v>SANCTION AMOUNT RETURNED</v>
      </c>
      <c r="G912" s="1">
        <v>100</v>
      </c>
      <c r="H912" t="str">
        <f>"SANCTION AMOUNT RETURNED"</f>
        <v>SANCTION AMOUNT RETURNED</v>
      </c>
    </row>
    <row r="913" spans="1:8" x14ac:dyDescent="0.25">
      <c r="A913" t="s">
        <v>91</v>
      </c>
      <c r="B913">
        <v>133530</v>
      </c>
      <c r="C913" s="1">
        <v>834.29</v>
      </c>
      <c r="D913" s="3">
        <v>44130</v>
      </c>
      <c r="E913" t="str">
        <f>"4009676438"</f>
        <v>4009676438</v>
      </c>
      <c r="F913" t="str">
        <f>"INV 4009676438"</f>
        <v>INV 4009676438</v>
      </c>
      <c r="G913" s="1">
        <v>834.29</v>
      </c>
      <c r="H913" t="str">
        <f>"INV 4009676438"</f>
        <v>INV 4009676438</v>
      </c>
    </row>
    <row r="914" spans="1:8" x14ac:dyDescent="0.25">
      <c r="A914" t="s">
        <v>90</v>
      </c>
      <c r="B914">
        <v>3327</v>
      </c>
      <c r="C914" s="1">
        <v>474.5</v>
      </c>
      <c r="D914" s="3">
        <v>44118</v>
      </c>
      <c r="E914" t="str">
        <f>"202010069476"</f>
        <v>202010069476</v>
      </c>
      <c r="F914" t="str">
        <f>"TRASH REMOVAL SEP28-30/PCT#4"</f>
        <v>TRASH REMOVAL SEP28-30/PCT#4</v>
      </c>
      <c r="G914" s="1">
        <v>169</v>
      </c>
      <c r="H914" t="str">
        <f>"TRASH REMOVAL SEP28-30/PCT#4"</f>
        <v>TRASH REMOVAL SEP28-30/PCT#4</v>
      </c>
    </row>
    <row r="915" spans="1:8" x14ac:dyDescent="0.25">
      <c r="E915" t="str">
        <f>"202010069477"</f>
        <v>202010069477</v>
      </c>
      <c r="F915" t="str">
        <f>"TRASH REMOVAL OCT1-8/PCT#4"</f>
        <v>TRASH REMOVAL OCT1-8/PCT#4</v>
      </c>
      <c r="G915" s="1">
        <v>305.5</v>
      </c>
      <c r="H915" t="str">
        <f>"TRASH REMOVAL OCT1-8/PCT#4"</f>
        <v>TRASH REMOVAL OCT1-8/PCT#4</v>
      </c>
    </row>
    <row r="916" spans="1:8" x14ac:dyDescent="0.25">
      <c r="A916" t="s">
        <v>90</v>
      </c>
      <c r="B916">
        <v>3397</v>
      </c>
      <c r="C916" s="1">
        <v>390</v>
      </c>
      <c r="D916" s="3">
        <v>44131</v>
      </c>
      <c r="E916" t="str">
        <f>"202010219753"</f>
        <v>202010219753</v>
      </c>
      <c r="F916" t="str">
        <f>"TRASH REMOVAL  10/12-10/23/P4"</f>
        <v>TRASH REMOVAL  10/12-10/23/P4</v>
      </c>
      <c r="G916" s="1">
        <v>390</v>
      </c>
      <c r="H916" t="str">
        <f>"TRASH REMOVAL  10/12-10/23/P4"</f>
        <v>TRASH REMOVAL  10/12-10/23/P4</v>
      </c>
    </row>
    <row r="917" spans="1:8" x14ac:dyDescent="0.25">
      <c r="A917" t="s">
        <v>89</v>
      </c>
      <c r="B917">
        <v>133389</v>
      </c>
      <c r="C917" s="1">
        <v>329.89</v>
      </c>
      <c r="D917" s="3">
        <v>44117</v>
      </c>
      <c r="E917" t="str">
        <f>"202010059350"</f>
        <v>202010059350</v>
      </c>
      <c r="F917" t="str">
        <f>"REIMBURSE SOFTWARE"</f>
        <v>REIMBURSE SOFTWARE</v>
      </c>
      <c r="G917" s="1">
        <v>329.89</v>
      </c>
      <c r="H917" t="str">
        <f>"REIMBURSE SOFTWARE"</f>
        <v>REIMBURSE SOFTWARE</v>
      </c>
    </row>
    <row r="918" spans="1:8" x14ac:dyDescent="0.25">
      <c r="A918" t="s">
        <v>88</v>
      </c>
      <c r="B918">
        <v>3349</v>
      </c>
      <c r="C918" s="1">
        <v>2027.48</v>
      </c>
      <c r="D918" s="3">
        <v>44118</v>
      </c>
      <c r="E918" t="str">
        <f>"95850235"</f>
        <v>95850235</v>
      </c>
      <c r="F918" t="str">
        <f>"ACCT#10187718/FUEL/PCT#2"</f>
        <v>ACCT#10187718/FUEL/PCT#2</v>
      </c>
      <c r="G918" s="1">
        <v>2027.48</v>
      </c>
      <c r="H918" t="str">
        <f>"ACCT#10187718/FUEL/PCT#2"</f>
        <v>ACCT#10187718/FUEL/PCT#2</v>
      </c>
    </row>
    <row r="919" spans="1:8" x14ac:dyDescent="0.25">
      <c r="A919" t="s">
        <v>87</v>
      </c>
      <c r="B919">
        <v>133390</v>
      </c>
      <c r="C919" s="1">
        <v>125</v>
      </c>
      <c r="D919" s="3">
        <v>44117</v>
      </c>
      <c r="E919" t="str">
        <f>"300016638"</f>
        <v>300016638</v>
      </c>
      <c r="F919" t="str">
        <f>"ICTA/TAAO MEMBERSHIP/J. SCHANA"</f>
        <v>ICTA/TAAO MEMBERSHIP/J. SCHANA</v>
      </c>
      <c r="G919" s="1">
        <v>125</v>
      </c>
      <c r="H919" t="str">
        <f>"ICTA/TAAO MEMBERSHIP/J. SCHANA"</f>
        <v>ICTA/TAAO MEMBERSHIP/J. SCHANA</v>
      </c>
    </row>
    <row r="920" spans="1:8" x14ac:dyDescent="0.25">
      <c r="A920" t="s">
        <v>86</v>
      </c>
      <c r="B920">
        <v>3337</v>
      </c>
      <c r="C920" s="1">
        <v>130</v>
      </c>
      <c r="D920" s="3">
        <v>44118</v>
      </c>
      <c r="E920" t="str">
        <f>"20080302"</f>
        <v>20080302</v>
      </c>
      <c r="F920" t="str">
        <f>"SVC CONTRACT 07/01-08/03"</f>
        <v>SVC CONTRACT 07/01-08/03</v>
      </c>
      <c r="G920" s="1">
        <v>46.48</v>
      </c>
      <c r="H920" t="str">
        <f>"SVC CONTRACT 07/01-08/03"</f>
        <v>SVC CONTRACT 07/01-08/03</v>
      </c>
    </row>
    <row r="921" spans="1:8" x14ac:dyDescent="0.25">
      <c r="E921" t="str">
        <f>"20090103"</f>
        <v>20090103</v>
      </c>
      <c r="F921" t="str">
        <f>"SVC CONTRACT 08/03-09/01"</f>
        <v>SVC CONTRACT 08/03-09/01</v>
      </c>
      <c r="G921" s="1">
        <v>37.04</v>
      </c>
      <c r="H921" t="str">
        <f>"SVC CONTRACT 08/03-09/01"</f>
        <v>SVC CONTRACT 08/03-09/01</v>
      </c>
    </row>
    <row r="922" spans="1:8" x14ac:dyDescent="0.25">
      <c r="E922" t="str">
        <f>"20100207"</f>
        <v>20100207</v>
      </c>
      <c r="F922" t="str">
        <f>"SVC CONTRACT PAYMENT"</f>
        <v>SVC CONTRACT PAYMENT</v>
      </c>
      <c r="G922" s="1">
        <v>46.48</v>
      </c>
      <c r="H922" t="str">
        <f>"SVC CONTRACT PAYMENT"</f>
        <v>SVC CONTRACT PAYMENT</v>
      </c>
    </row>
    <row r="923" spans="1:8" x14ac:dyDescent="0.25">
      <c r="A923" t="s">
        <v>85</v>
      </c>
      <c r="B923">
        <v>3452</v>
      </c>
      <c r="C923" s="1">
        <v>217</v>
      </c>
      <c r="D923" s="3">
        <v>44131</v>
      </c>
      <c r="E923" t="str">
        <f>"2011053"</f>
        <v>2011053</v>
      </c>
      <c r="F923" t="str">
        <f>"MONTHLY CONTRACT BILLING"</f>
        <v>MONTHLY CONTRACT BILLING</v>
      </c>
      <c r="G923" s="1">
        <v>217</v>
      </c>
      <c r="H923" t="str">
        <f>"MONTHLY CONTRACT BILLING"</f>
        <v>MONTHLY CONTRACT BILLING</v>
      </c>
    </row>
    <row r="924" spans="1:8" x14ac:dyDescent="0.25">
      <c r="A924" t="s">
        <v>84</v>
      </c>
      <c r="B924">
        <v>3442</v>
      </c>
      <c r="C924" s="1">
        <v>1669</v>
      </c>
      <c r="D924" s="3">
        <v>44131</v>
      </c>
      <c r="E924" t="str">
        <f>"202010209647"</f>
        <v>202010209647</v>
      </c>
      <c r="F924" t="str">
        <f>"MILEAGE REIMBURSEMENT"</f>
        <v>MILEAGE REIMBURSEMENT</v>
      </c>
      <c r="G924" s="1">
        <v>69</v>
      </c>
      <c r="H924" t="str">
        <f>"MILEAGE REIMBURSEMENT"</f>
        <v>MILEAGE REIMBURSEMENT</v>
      </c>
    </row>
    <row r="925" spans="1:8" x14ac:dyDescent="0.25">
      <c r="E925" t="str">
        <f>"202010209666"</f>
        <v>202010209666</v>
      </c>
      <c r="F925" t="str">
        <f>"MEDIATION - 11-14658"</f>
        <v>MEDIATION - 11-14658</v>
      </c>
      <c r="G925" s="1">
        <v>1600</v>
      </c>
      <c r="H925" t="str">
        <f>"MEDIATION - 11-14658"</f>
        <v>MEDIATION - 11-14658</v>
      </c>
    </row>
    <row r="926" spans="1:8" x14ac:dyDescent="0.25">
      <c r="A926" t="s">
        <v>83</v>
      </c>
      <c r="B926">
        <v>3372</v>
      </c>
      <c r="C926" s="1">
        <v>113.7</v>
      </c>
      <c r="D926" s="3">
        <v>44118</v>
      </c>
      <c r="E926" t="str">
        <f>"892129"</f>
        <v>892129</v>
      </c>
      <c r="F926" t="str">
        <f>"ACCT#63275/CUST ID:BASCO1/P3"</f>
        <v>ACCT#63275/CUST ID:BASCO1/P3</v>
      </c>
      <c r="G926" s="1">
        <v>113.7</v>
      </c>
      <c r="H926" t="str">
        <f>"ACCT#63275/CUST ID:BASCO1/P3"</f>
        <v>ACCT#63275/CUST ID:BASCO1/P3</v>
      </c>
    </row>
    <row r="927" spans="1:8" x14ac:dyDescent="0.25">
      <c r="A927" t="s">
        <v>82</v>
      </c>
      <c r="B927">
        <v>133391</v>
      </c>
      <c r="C927" s="1">
        <v>5673.65</v>
      </c>
      <c r="D927" s="3">
        <v>44117</v>
      </c>
      <c r="E927" t="str">
        <f>"1015983-IN"</f>
        <v>1015983-IN</v>
      </c>
      <c r="F927" t="str">
        <f>"ACCT#01-0112917/PCT#4"</f>
        <v>ACCT#01-0112917/PCT#4</v>
      </c>
      <c r="G927" s="1">
        <v>2795.75</v>
      </c>
      <c r="H927" t="str">
        <f>"ACCT#01-0112917/PCT#4"</f>
        <v>ACCT#01-0112917/PCT#4</v>
      </c>
    </row>
    <row r="928" spans="1:8" x14ac:dyDescent="0.25">
      <c r="E928" t="str">
        <f>"1016590-IN"</f>
        <v>1016590-IN</v>
      </c>
      <c r="F928" t="str">
        <f>"ACCT#01-0112917/PCT#3"</f>
        <v>ACCT#01-0112917/PCT#3</v>
      </c>
      <c r="G928" s="1">
        <v>2877.9</v>
      </c>
      <c r="H928" t="str">
        <f>"ACCT#01-0112917/PCT#3"</f>
        <v>ACCT#01-0112917/PCT#3</v>
      </c>
    </row>
    <row r="929" spans="1:8" x14ac:dyDescent="0.25">
      <c r="A929" t="s">
        <v>82</v>
      </c>
      <c r="B929">
        <v>133531</v>
      </c>
      <c r="C929" s="1">
        <v>7305.69</v>
      </c>
      <c r="D929" s="3">
        <v>44130</v>
      </c>
      <c r="E929" t="str">
        <f>"1017728-IN"</f>
        <v>1017728-IN</v>
      </c>
      <c r="F929" t="str">
        <f>"ACCT#01-0112917/DIESEL/PCT#3"</f>
        <v>ACCT#01-0112917/DIESEL/PCT#3</v>
      </c>
      <c r="G929" s="1">
        <v>376.2</v>
      </c>
      <c r="H929" t="str">
        <f>"ACCT#01-0112917/DIESEL/PCT#3"</f>
        <v>ACCT#01-0112917/DIESEL/PCT#3</v>
      </c>
    </row>
    <row r="930" spans="1:8" x14ac:dyDescent="0.25">
      <c r="E930" t="str">
        <f>"1019565-IN"</f>
        <v>1019565-IN</v>
      </c>
      <c r="F930" t="str">
        <f>"ACCT#01-0112917/FUEL/PCT#3"</f>
        <v>ACCT#01-0112917/FUEL/PCT#3</v>
      </c>
      <c r="G930" s="1">
        <v>2668.11</v>
      </c>
      <c r="H930" t="str">
        <f>"ACCT#01-0112917/FUEL/PCT#3"</f>
        <v>ACCT#01-0112917/FUEL/PCT#3</v>
      </c>
    </row>
    <row r="931" spans="1:8" x14ac:dyDescent="0.25">
      <c r="E931" t="str">
        <f>"1021780-IN"</f>
        <v>1021780-IN</v>
      </c>
      <c r="F931" t="str">
        <f>"ACCT#01-0112917/PCT#4"</f>
        <v>ACCT#01-0112917/PCT#4</v>
      </c>
      <c r="G931" s="1">
        <v>3522.48</v>
      </c>
      <c r="H931" t="str">
        <f>"ACCT#01-0112917/PCT#4"</f>
        <v>ACCT#01-0112917/PCT#4</v>
      </c>
    </row>
    <row r="932" spans="1:8" x14ac:dyDescent="0.25">
      <c r="E932" t="str">
        <f>"1023023-IN"</f>
        <v>1023023-IN</v>
      </c>
      <c r="F932" t="str">
        <f>"ACCT#01-0112917/PCT#4"</f>
        <v>ACCT#01-0112917/PCT#4</v>
      </c>
      <c r="G932" s="1">
        <v>738.9</v>
      </c>
      <c r="H932" t="str">
        <f>"ACCT#01-0112917/PCT#4"</f>
        <v>ACCT#01-0112917/PCT#4</v>
      </c>
    </row>
    <row r="933" spans="1:8" x14ac:dyDescent="0.25">
      <c r="A933" t="s">
        <v>81</v>
      </c>
      <c r="B933">
        <v>133532</v>
      </c>
      <c r="C933" s="1">
        <v>118.95</v>
      </c>
      <c r="D933" s="3">
        <v>44130</v>
      </c>
      <c r="E933" t="str">
        <f>"202010219739"</f>
        <v>202010219739</v>
      </c>
      <c r="F933" t="str">
        <f>"INDIGENT HEALTH"</f>
        <v>INDIGENT HEALTH</v>
      </c>
      <c r="G933" s="1">
        <v>118.95</v>
      </c>
      <c r="H933" t="str">
        <f>"INDIGENT HEALTH"</f>
        <v>INDIGENT HEALTH</v>
      </c>
    </row>
    <row r="934" spans="1:8" x14ac:dyDescent="0.25">
      <c r="A934" t="s">
        <v>80</v>
      </c>
      <c r="B934">
        <v>3456</v>
      </c>
      <c r="C934" s="1">
        <v>301.89999999999998</v>
      </c>
      <c r="D934" s="3">
        <v>44131</v>
      </c>
      <c r="E934" t="str">
        <f>"8269"</f>
        <v>8269</v>
      </c>
      <c r="F934" t="str">
        <f>"BEDDING SAND/GEN SVCS"</f>
        <v>BEDDING SAND/GEN SVCS</v>
      </c>
      <c r="G934" s="1">
        <v>301.89999999999998</v>
      </c>
      <c r="H934" t="str">
        <f>"BEDDING SAND/GEN SVCS"</f>
        <v>BEDDING SAND/GEN SVCS</v>
      </c>
    </row>
    <row r="935" spans="1:8" x14ac:dyDescent="0.25">
      <c r="A935" t="s">
        <v>79</v>
      </c>
      <c r="B935">
        <v>133392</v>
      </c>
      <c r="C935" s="1">
        <v>44000</v>
      </c>
      <c r="D935" s="3">
        <v>44117</v>
      </c>
      <c r="E935" t="str">
        <f>"202010079500"</f>
        <v>202010079500</v>
      </c>
      <c r="F935" t="str">
        <f>"4 Used Trucks - TABC"</f>
        <v>4 Used Trucks - TABC</v>
      </c>
      <c r="G935" s="1">
        <v>44000</v>
      </c>
      <c r="H935" t="str">
        <f>"2016 F-150"</f>
        <v>2016 F-150</v>
      </c>
    </row>
    <row r="936" spans="1:8" x14ac:dyDescent="0.25">
      <c r="E936" t="str">
        <f>""</f>
        <v/>
      </c>
      <c r="F936" t="str">
        <f>""</f>
        <v/>
      </c>
      <c r="H936" t="str">
        <f>"2016 GMC Sierra"</f>
        <v>2016 GMC Sierra</v>
      </c>
    </row>
    <row r="937" spans="1:8" x14ac:dyDescent="0.25">
      <c r="E937" t="str">
        <f>""</f>
        <v/>
      </c>
      <c r="F937" t="str">
        <f>""</f>
        <v/>
      </c>
      <c r="H937" t="str">
        <f>"2014 F-150"</f>
        <v>2014 F-150</v>
      </c>
    </row>
    <row r="938" spans="1:8" x14ac:dyDescent="0.25">
      <c r="A938" t="s">
        <v>78</v>
      </c>
      <c r="B938">
        <v>133533</v>
      </c>
      <c r="C938" s="1">
        <v>500</v>
      </c>
      <c r="D938" s="3">
        <v>44130</v>
      </c>
      <c r="E938" t="str">
        <f>"202010209712"</f>
        <v>202010209712</v>
      </c>
      <c r="F938" t="str">
        <f>"INV  NOVEMBER RENEWALS"</f>
        <v>INV  NOVEMBER RENEWALS</v>
      </c>
      <c r="G938" s="1">
        <v>400</v>
      </c>
      <c r="H938" t="str">
        <f>"INV  NOVEMBER RENEWALS"</f>
        <v>INV  NOVEMBER RENEWALS</v>
      </c>
    </row>
    <row r="939" spans="1:8" x14ac:dyDescent="0.25">
      <c r="E939" t="str">
        <f>"5894"</f>
        <v>5894</v>
      </c>
      <c r="F939" t="str">
        <f>"ACCT#BASCOU-10"</f>
        <v>ACCT#BASCOU-10</v>
      </c>
      <c r="G939" s="1">
        <v>50</v>
      </c>
      <c r="H939" t="str">
        <f>"ACCT#BASCOU-10"</f>
        <v>ACCT#BASCOU-10</v>
      </c>
    </row>
    <row r="940" spans="1:8" x14ac:dyDescent="0.25">
      <c r="E940" t="str">
        <f>"5895"</f>
        <v>5895</v>
      </c>
      <c r="F940" t="str">
        <f>"ITEM#138266/RNWL-STEVEN PERRY"</f>
        <v>ITEM#138266/RNWL-STEVEN PERRY</v>
      </c>
      <c r="G940" s="1">
        <v>50</v>
      </c>
      <c r="H940" t="str">
        <f>"ITEM#138266/RNWL-STEVEN PERRY"</f>
        <v>ITEM#138266/RNWL-STEVEN PERRY</v>
      </c>
    </row>
    <row r="941" spans="1:8" x14ac:dyDescent="0.25">
      <c r="A941" t="s">
        <v>16</v>
      </c>
      <c r="B941">
        <v>133393</v>
      </c>
      <c r="C941" s="1">
        <v>9857.56</v>
      </c>
      <c r="D941" s="3">
        <v>44117</v>
      </c>
      <c r="E941" t="str">
        <f>"D-2020-4-0110"</f>
        <v>D-2020-4-0110</v>
      </c>
      <c r="F941" t="str">
        <f>"UNEMPLOYMENT QTR END 09/30/20"</f>
        <v>UNEMPLOYMENT QTR END 09/30/20</v>
      </c>
      <c r="G941" s="1">
        <v>4914.05</v>
      </c>
      <c r="H941" t="str">
        <f>"UNEMPLOYMENT QTR END 09/30/20"</f>
        <v>UNEMPLOYMENT QTR END 09/30/20</v>
      </c>
    </row>
    <row r="942" spans="1:8" x14ac:dyDescent="0.25">
      <c r="E942" t="str">
        <f>""</f>
        <v/>
      </c>
      <c r="F942" t="str">
        <f>""</f>
        <v/>
      </c>
      <c r="H942" t="str">
        <f>"UNEMPLOYMENT QTR END 09/30/20"</f>
        <v>UNEMPLOYMENT QTR END 09/30/20</v>
      </c>
    </row>
    <row r="943" spans="1:8" x14ac:dyDescent="0.25">
      <c r="E943" t="str">
        <f>""</f>
        <v/>
      </c>
      <c r="F943" t="str">
        <f>""</f>
        <v/>
      </c>
      <c r="H943" t="str">
        <f>"UNEMPLOYMENT QTR END 09/30/20"</f>
        <v>UNEMPLOYMENT QTR END 09/30/20</v>
      </c>
    </row>
    <row r="944" spans="1:8" x14ac:dyDescent="0.25">
      <c r="E944" t="str">
        <f>""</f>
        <v/>
      </c>
      <c r="F944" t="str">
        <f>""</f>
        <v/>
      </c>
      <c r="H944" t="str">
        <f>"UNEMPLOYMENT QTR END 09/30/20"</f>
        <v>UNEMPLOYMENT QTR END 09/30/20</v>
      </c>
    </row>
    <row r="945" spans="5:8" x14ac:dyDescent="0.25">
      <c r="E945" t="str">
        <f>""</f>
        <v/>
      </c>
      <c r="F945" t="str">
        <f>""</f>
        <v/>
      </c>
      <c r="H945" t="str">
        <f>"UNEMPLOYMENT QTR END 09/30/20"</f>
        <v>UNEMPLOYMENT QTR END 09/30/20</v>
      </c>
    </row>
    <row r="946" spans="5:8" x14ac:dyDescent="0.25">
      <c r="E946" t="str">
        <f>""</f>
        <v/>
      </c>
      <c r="F946" t="str">
        <f>""</f>
        <v/>
      </c>
      <c r="H946" t="str">
        <f>"UNEMPLOYMENT QTR END 09/30/20"</f>
        <v>UNEMPLOYMENT QTR END 09/30/20</v>
      </c>
    </row>
    <row r="947" spans="5:8" x14ac:dyDescent="0.25">
      <c r="E947" t="str">
        <f>""</f>
        <v/>
      </c>
      <c r="F947" t="str">
        <f>""</f>
        <v/>
      </c>
      <c r="H947" t="str">
        <f>"UNEMPLOYMENT QTR END 09/30/20"</f>
        <v>UNEMPLOYMENT QTR END 09/30/20</v>
      </c>
    </row>
    <row r="948" spans="5:8" x14ac:dyDescent="0.25">
      <c r="E948" t="str">
        <f>""</f>
        <v/>
      </c>
      <c r="F948" t="str">
        <f>""</f>
        <v/>
      </c>
      <c r="H948" t="str">
        <f>"UNEMPLOYMENT QTR END 09/30/20"</f>
        <v>UNEMPLOYMENT QTR END 09/30/20</v>
      </c>
    </row>
    <row r="949" spans="5:8" x14ac:dyDescent="0.25">
      <c r="E949" t="str">
        <f>""</f>
        <v/>
      </c>
      <c r="F949" t="str">
        <f>""</f>
        <v/>
      </c>
      <c r="H949" t="str">
        <f>"UNEMPLOYMENT QTR END 09/30/20"</f>
        <v>UNEMPLOYMENT QTR END 09/30/20</v>
      </c>
    </row>
    <row r="950" spans="5:8" x14ac:dyDescent="0.25">
      <c r="E950" t="str">
        <f>""</f>
        <v/>
      </c>
      <c r="F950" t="str">
        <f>""</f>
        <v/>
      </c>
      <c r="H950" t="str">
        <f>"UNEMPLOYMENT QTR END 09/30/20"</f>
        <v>UNEMPLOYMENT QTR END 09/30/20</v>
      </c>
    </row>
    <row r="951" spans="5:8" x14ac:dyDescent="0.25">
      <c r="E951" t="str">
        <f>""</f>
        <v/>
      </c>
      <c r="F951" t="str">
        <f>""</f>
        <v/>
      </c>
      <c r="H951" t="str">
        <f>"UNEMPLOYMENT QTR END 09/30/20"</f>
        <v>UNEMPLOYMENT QTR END 09/30/20</v>
      </c>
    </row>
    <row r="952" spans="5:8" x14ac:dyDescent="0.25">
      <c r="E952" t="str">
        <f>""</f>
        <v/>
      </c>
      <c r="F952" t="str">
        <f>""</f>
        <v/>
      </c>
      <c r="H952" t="str">
        <f>"UNEMPLOYMENT QTR END 09/30/20"</f>
        <v>UNEMPLOYMENT QTR END 09/30/20</v>
      </c>
    </row>
    <row r="953" spans="5:8" x14ac:dyDescent="0.25">
      <c r="E953" t="str">
        <f>""</f>
        <v/>
      </c>
      <c r="F953" t="str">
        <f>""</f>
        <v/>
      </c>
      <c r="H953" t="str">
        <f>"UNEMPLOYMENT QTR END 09/30/20"</f>
        <v>UNEMPLOYMENT QTR END 09/30/20</v>
      </c>
    </row>
    <row r="954" spans="5:8" x14ac:dyDescent="0.25">
      <c r="E954" t="str">
        <f>""</f>
        <v/>
      </c>
      <c r="F954" t="str">
        <f>""</f>
        <v/>
      </c>
      <c r="H954" t="str">
        <f>"UNEMPLOYMENT QTR END 09/30/20"</f>
        <v>UNEMPLOYMENT QTR END 09/30/20</v>
      </c>
    </row>
    <row r="955" spans="5:8" x14ac:dyDescent="0.25">
      <c r="E955" t="str">
        <f>""</f>
        <v/>
      </c>
      <c r="F955" t="str">
        <f>""</f>
        <v/>
      </c>
      <c r="H955" t="str">
        <f>"UNEMPLOYMENT QTR END 09/30/20"</f>
        <v>UNEMPLOYMENT QTR END 09/30/20</v>
      </c>
    </row>
    <row r="956" spans="5:8" x14ac:dyDescent="0.25">
      <c r="E956" t="str">
        <f>""</f>
        <v/>
      </c>
      <c r="F956" t="str">
        <f>""</f>
        <v/>
      </c>
      <c r="H956" t="str">
        <f>"UNEMPLOYMENT QTR END 09/30/20"</f>
        <v>UNEMPLOYMENT QTR END 09/30/20</v>
      </c>
    </row>
    <row r="957" spans="5:8" x14ac:dyDescent="0.25">
      <c r="E957" t="str">
        <f>""</f>
        <v/>
      </c>
      <c r="F957" t="str">
        <f>""</f>
        <v/>
      </c>
      <c r="H957" t="str">
        <f>"UNEMPLOYMENT QTR END 09/30/20"</f>
        <v>UNEMPLOYMENT QTR END 09/30/20</v>
      </c>
    </row>
    <row r="958" spans="5:8" x14ac:dyDescent="0.25">
      <c r="E958" t="str">
        <f>""</f>
        <v/>
      </c>
      <c r="F958" t="str">
        <f>""</f>
        <v/>
      </c>
      <c r="H958" t="str">
        <f>"UNEMPLOYMENT QTR END 09/30/20"</f>
        <v>UNEMPLOYMENT QTR END 09/30/20</v>
      </c>
    </row>
    <row r="959" spans="5:8" x14ac:dyDescent="0.25">
      <c r="E959" t="str">
        <f>""</f>
        <v/>
      </c>
      <c r="F959" t="str">
        <f>""</f>
        <v/>
      </c>
      <c r="H959" t="str">
        <f>"UNEMPLOYMENT QTR END 09/30/20"</f>
        <v>UNEMPLOYMENT QTR END 09/30/20</v>
      </c>
    </row>
    <row r="960" spans="5:8" x14ac:dyDescent="0.25">
      <c r="E960" t="str">
        <f>""</f>
        <v/>
      </c>
      <c r="F960" t="str">
        <f>""</f>
        <v/>
      </c>
      <c r="H960" t="str">
        <f>"UNEMPLOYMENT QTR END 09/30/20"</f>
        <v>UNEMPLOYMENT QTR END 09/30/20</v>
      </c>
    </row>
    <row r="961" spans="5:8" x14ac:dyDescent="0.25">
      <c r="E961" t="str">
        <f>""</f>
        <v/>
      </c>
      <c r="F961" t="str">
        <f>""</f>
        <v/>
      </c>
      <c r="H961" t="str">
        <f>"UNEMPLOYMENT QTR END 09/30/20"</f>
        <v>UNEMPLOYMENT QTR END 09/30/20</v>
      </c>
    </row>
    <row r="962" spans="5:8" x14ac:dyDescent="0.25">
      <c r="E962" t="str">
        <f>""</f>
        <v/>
      </c>
      <c r="F962" t="str">
        <f>""</f>
        <v/>
      </c>
      <c r="H962" t="str">
        <f>"UNEMPLOYMENT QTR END 09/30/20"</f>
        <v>UNEMPLOYMENT QTR END 09/30/20</v>
      </c>
    </row>
    <row r="963" spans="5:8" x14ac:dyDescent="0.25">
      <c r="E963" t="str">
        <f>""</f>
        <v/>
      </c>
      <c r="F963" t="str">
        <f>""</f>
        <v/>
      </c>
      <c r="H963" t="str">
        <f>"UNEMPLOYMENT QTR END 09/30/20"</f>
        <v>UNEMPLOYMENT QTR END 09/30/20</v>
      </c>
    </row>
    <row r="964" spans="5:8" x14ac:dyDescent="0.25">
      <c r="E964" t="str">
        <f>""</f>
        <v/>
      </c>
      <c r="F964" t="str">
        <f>""</f>
        <v/>
      </c>
      <c r="H964" t="str">
        <f>"UNEMPLOYMENT QTR END 09/30/20"</f>
        <v>UNEMPLOYMENT QTR END 09/30/20</v>
      </c>
    </row>
    <row r="965" spans="5:8" x14ac:dyDescent="0.25">
      <c r="E965" t="str">
        <f>""</f>
        <v/>
      </c>
      <c r="F965" t="str">
        <f>""</f>
        <v/>
      </c>
      <c r="H965" t="str">
        <f>"UNEMPLOYMENT QTR END 09/30/20"</f>
        <v>UNEMPLOYMENT QTR END 09/30/20</v>
      </c>
    </row>
    <row r="966" spans="5:8" x14ac:dyDescent="0.25">
      <c r="E966" t="str">
        <f>""</f>
        <v/>
      </c>
      <c r="F966" t="str">
        <f>""</f>
        <v/>
      </c>
      <c r="H966" t="str">
        <f>"UNEMPLOYMENT QTR END 09/30/20"</f>
        <v>UNEMPLOYMENT QTR END 09/30/20</v>
      </c>
    </row>
    <row r="967" spans="5:8" x14ac:dyDescent="0.25">
      <c r="E967" t="str">
        <f>""</f>
        <v/>
      </c>
      <c r="F967" t="str">
        <f>""</f>
        <v/>
      </c>
      <c r="H967" t="str">
        <f>"UNEMPLOYMENT QTR END 09/30/20"</f>
        <v>UNEMPLOYMENT QTR END 09/30/20</v>
      </c>
    </row>
    <row r="968" spans="5:8" x14ac:dyDescent="0.25">
      <c r="E968" t="str">
        <f>""</f>
        <v/>
      </c>
      <c r="F968" t="str">
        <f>""</f>
        <v/>
      </c>
      <c r="H968" t="str">
        <f>"UNEMPLOYMENT QTR END 09/30/20"</f>
        <v>UNEMPLOYMENT QTR END 09/30/20</v>
      </c>
    </row>
    <row r="969" spans="5:8" x14ac:dyDescent="0.25">
      <c r="E969" t="str">
        <f>""</f>
        <v/>
      </c>
      <c r="F969" t="str">
        <f>""</f>
        <v/>
      </c>
      <c r="H969" t="str">
        <f>"UNEMPLOYMENT QTR END 09/30/20"</f>
        <v>UNEMPLOYMENT QTR END 09/30/20</v>
      </c>
    </row>
    <row r="970" spans="5:8" x14ac:dyDescent="0.25">
      <c r="E970" t="str">
        <f>""</f>
        <v/>
      </c>
      <c r="F970" t="str">
        <f>""</f>
        <v/>
      </c>
      <c r="H970" t="str">
        <f>"UNEMPLOYMENT QTR END 09/30/20"</f>
        <v>UNEMPLOYMENT QTR END 09/30/20</v>
      </c>
    </row>
    <row r="971" spans="5:8" x14ac:dyDescent="0.25">
      <c r="E971" t="str">
        <f>""</f>
        <v/>
      </c>
      <c r="F971" t="str">
        <f>""</f>
        <v/>
      </c>
      <c r="H971" t="str">
        <f>"UNEMPLOYMENT QTR END 09/30/20"</f>
        <v>UNEMPLOYMENT QTR END 09/30/20</v>
      </c>
    </row>
    <row r="972" spans="5:8" x14ac:dyDescent="0.25">
      <c r="E972" t="str">
        <f>""</f>
        <v/>
      </c>
      <c r="F972" t="str">
        <f>""</f>
        <v/>
      </c>
      <c r="H972" t="str">
        <f>"UNEMPLOYMENT QTR END 09/30/20"</f>
        <v>UNEMPLOYMENT QTR END 09/30/20</v>
      </c>
    </row>
    <row r="973" spans="5:8" x14ac:dyDescent="0.25">
      <c r="E973" t="str">
        <f>""</f>
        <v/>
      </c>
      <c r="F973" t="str">
        <f>""</f>
        <v/>
      </c>
      <c r="H973" t="str">
        <f>"UNEMPLOYMENT QTR END 09/30/20"</f>
        <v>UNEMPLOYMENT QTR END 09/30/20</v>
      </c>
    </row>
    <row r="974" spans="5:8" x14ac:dyDescent="0.25">
      <c r="E974" t="str">
        <f>""</f>
        <v/>
      </c>
      <c r="F974" t="str">
        <f>""</f>
        <v/>
      </c>
      <c r="H974" t="str">
        <f>"UNEMPLOYMENT QTR END 09/30/20"</f>
        <v>UNEMPLOYMENT QTR END 09/30/20</v>
      </c>
    </row>
    <row r="975" spans="5:8" x14ac:dyDescent="0.25">
      <c r="E975" t="str">
        <f>""</f>
        <v/>
      </c>
      <c r="F975" t="str">
        <f>""</f>
        <v/>
      </c>
      <c r="H975" t="str">
        <f>"UNEMPLOYMENT QTR END 09/30/20"</f>
        <v>UNEMPLOYMENT QTR END 09/30/20</v>
      </c>
    </row>
    <row r="976" spans="5:8" x14ac:dyDescent="0.25">
      <c r="E976" t="str">
        <f>""</f>
        <v/>
      </c>
      <c r="F976" t="str">
        <f>""</f>
        <v/>
      </c>
      <c r="H976" t="str">
        <f>"UNEMPLOYMENT QTR END 09/30/20"</f>
        <v>UNEMPLOYMENT QTR END 09/30/20</v>
      </c>
    </row>
    <row r="977" spans="5:8" x14ac:dyDescent="0.25">
      <c r="E977" t="str">
        <f>""</f>
        <v/>
      </c>
      <c r="F977" t="str">
        <f>""</f>
        <v/>
      </c>
      <c r="H977" t="str">
        <f>"UNEMPLOYMENT QTR END 09/30/20"</f>
        <v>UNEMPLOYMENT QTR END 09/30/20</v>
      </c>
    </row>
    <row r="978" spans="5:8" x14ac:dyDescent="0.25">
      <c r="E978" t="str">
        <f>""</f>
        <v/>
      </c>
      <c r="F978" t="str">
        <f>""</f>
        <v/>
      </c>
      <c r="H978" t="str">
        <f>"UNEMPLOYMENT QTR END 09/30/20"</f>
        <v>UNEMPLOYMENT QTR END 09/30/20</v>
      </c>
    </row>
    <row r="979" spans="5:8" x14ac:dyDescent="0.25">
      <c r="E979" t="str">
        <f>""</f>
        <v/>
      </c>
      <c r="F979" t="str">
        <f>""</f>
        <v/>
      </c>
      <c r="H979" t="str">
        <f>"UNEMPLOYMENT QTR END 09/30/20"</f>
        <v>UNEMPLOYMENT QTR END 09/30/20</v>
      </c>
    </row>
    <row r="980" spans="5:8" x14ac:dyDescent="0.25">
      <c r="E980" t="str">
        <f>"DP-2020-2-0110"</f>
        <v>DP-2020-2-0110</v>
      </c>
      <c r="F980" t="str">
        <f>"UNEMPLOYMENT DEFICIT 2ND-2020"</f>
        <v>UNEMPLOYMENT DEFICIT 2ND-2020</v>
      </c>
      <c r="G980" s="1">
        <v>4943.51</v>
      </c>
      <c r="H980" t="str">
        <f>"UNEMPLOYMENT DEFICIT 2ND-2020"</f>
        <v>UNEMPLOYMENT DEFICIT 2ND-2020</v>
      </c>
    </row>
    <row r="981" spans="5:8" x14ac:dyDescent="0.25">
      <c r="E981" t="str">
        <f>""</f>
        <v/>
      </c>
      <c r="F981" t="str">
        <f>""</f>
        <v/>
      </c>
      <c r="H981" t="str">
        <f>"UNEMPLOYMENT DEFICIT 2ND-2020"</f>
        <v>UNEMPLOYMENT DEFICIT 2ND-2020</v>
      </c>
    </row>
    <row r="982" spans="5:8" x14ac:dyDescent="0.25">
      <c r="E982" t="str">
        <f>""</f>
        <v/>
      </c>
      <c r="F982" t="str">
        <f>""</f>
        <v/>
      </c>
      <c r="H982" t="str">
        <f>"UNEMPLOYMENT DEFICIT 2ND-2020"</f>
        <v>UNEMPLOYMENT DEFICIT 2ND-2020</v>
      </c>
    </row>
    <row r="983" spans="5:8" x14ac:dyDescent="0.25">
      <c r="E983" t="str">
        <f>""</f>
        <v/>
      </c>
      <c r="F983" t="str">
        <f>""</f>
        <v/>
      </c>
      <c r="H983" t="str">
        <f>"UNEMPLOYMENT DEFICIT 2ND-2020"</f>
        <v>UNEMPLOYMENT DEFICIT 2ND-2020</v>
      </c>
    </row>
    <row r="984" spans="5:8" x14ac:dyDescent="0.25">
      <c r="E984" t="str">
        <f>""</f>
        <v/>
      </c>
      <c r="F984" t="str">
        <f>""</f>
        <v/>
      </c>
      <c r="H984" t="str">
        <f>"UNEMPLOYMENT DEFICIT 2ND-2020"</f>
        <v>UNEMPLOYMENT DEFICIT 2ND-2020</v>
      </c>
    </row>
    <row r="985" spans="5:8" x14ac:dyDescent="0.25">
      <c r="E985" t="str">
        <f>""</f>
        <v/>
      </c>
      <c r="F985" t="str">
        <f>""</f>
        <v/>
      </c>
      <c r="H985" t="str">
        <f>"UNEMPLOYMENT DEFICIT 2ND-2020"</f>
        <v>UNEMPLOYMENT DEFICIT 2ND-2020</v>
      </c>
    </row>
    <row r="986" spans="5:8" x14ac:dyDescent="0.25">
      <c r="E986" t="str">
        <f>""</f>
        <v/>
      </c>
      <c r="F986" t="str">
        <f>""</f>
        <v/>
      </c>
      <c r="H986" t="str">
        <f>"UNEMPLOYMENT DEFICIT 2ND-2020"</f>
        <v>UNEMPLOYMENT DEFICIT 2ND-2020</v>
      </c>
    </row>
    <row r="987" spans="5:8" x14ac:dyDescent="0.25">
      <c r="E987" t="str">
        <f>""</f>
        <v/>
      </c>
      <c r="F987" t="str">
        <f>""</f>
        <v/>
      </c>
      <c r="H987" t="str">
        <f>"UNEMPLOYMENT DEFICIT 2ND-2020"</f>
        <v>UNEMPLOYMENT DEFICIT 2ND-2020</v>
      </c>
    </row>
    <row r="988" spans="5:8" x14ac:dyDescent="0.25">
      <c r="E988" t="str">
        <f>""</f>
        <v/>
      </c>
      <c r="F988" t="str">
        <f>""</f>
        <v/>
      </c>
      <c r="H988" t="str">
        <f>"UNEMPLOYMENT DEFICIT 2ND-2020"</f>
        <v>UNEMPLOYMENT DEFICIT 2ND-2020</v>
      </c>
    </row>
    <row r="989" spans="5:8" x14ac:dyDescent="0.25">
      <c r="E989" t="str">
        <f>""</f>
        <v/>
      </c>
      <c r="F989" t="str">
        <f>""</f>
        <v/>
      </c>
      <c r="H989" t="str">
        <f>"UNEMPLOYMENT DEFICIT 2ND-2020"</f>
        <v>UNEMPLOYMENT DEFICIT 2ND-2020</v>
      </c>
    </row>
    <row r="990" spans="5:8" x14ac:dyDescent="0.25">
      <c r="E990" t="str">
        <f>""</f>
        <v/>
      </c>
      <c r="F990" t="str">
        <f>""</f>
        <v/>
      </c>
      <c r="H990" t="str">
        <f>"UNEMPLOYMENT DEFICIT 2ND-2020"</f>
        <v>UNEMPLOYMENT DEFICIT 2ND-2020</v>
      </c>
    </row>
    <row r="991" spans="5:8" x14ac:dyDescent="0.25">
      <c r="E991" t="str">
        <f>""</f>
        <v/>
      </c>
      <c r="F991" t="str">
        <f>""</f>
        <v/>
      </c>
      <c r="H991" t="str">
        <f>"UNEMPLOYMENT DEFICIT 2ND-2020"</f>
        <v>UNEMPLOYMENT DEFICIT 2ND-2020</v>
      </c>
    </row>
    <row r="992" spans="5:8" x14ac:dyDescent="0.25">
      <c r="E992" t="str">
        <f>""</f>
        <v/>
      </c>
      <c r="F992" t="str">
        <f>""</f>
        <v/>
      </c>
      <c r="H992" t="str">
        <f>"UNEMPLOYMENT DEFICIT 2ND-2020"</f>
        <v>UNEMPLOYMENT DEFICIT 2ND-2020</v>
      </c>
    </row>
    <row r="993" spans="5:8" x14ac:dyDescent="0.25">
      <c r="E993" t="str">
        <f>""</f>
        <v/>
      </c>
      <c r="F993" t="str">
        <f>""</f>
        <v/>
      </c>
      <c r="H993" t="str">
        <f>"UNEMPLOYMENT DEFICIT 2ND-2020"</f>
        <v>UNEMPLOYMENT DEFICIT 2ND-2020</v>
      </c>
    </row>
    <row r="994" spans="5:8" x14ac:dyDescent="0.25">
      <c r="E994" t="str">
        <f>""</f>
        <v/>
      </c>
      <c r="F994" t="str">
        <f>""</f>
        <v/>
      </c>
      <c r="H994" t="str">
        <f>"UNEMPLOYMENT DEFICIT 2ND-2020"</f>
        <v>UNEMPLOYMENT DEFICIT 2ND-2020</v>
      </c>
    </row>
    <row r="995" spans="5:8" x14ac:dyDescent="0.25">
      <c r="E995" t="str">
        <f>""</f>
        <v/>
      </c>
      <c r="F995" t="str">
        <f>""</f>
        <v/>
      </c>
      <c r="H995" t="str">
        <f>"UNEMPLOYMENT DEFICIT 2ND-2020"</f>
        <v>UNEMPLOYMENT DEFICIT 2ND-2020</v>
      </c>
    </row>
    <row r="996" spans="5:8" x14ac:dyDescent="0.25">
      <c r="E996" t="str">
        <f>""</f>
        <v/>
      </c>
      <c r="F996" t="str">
        <f>""</f>
        <v/>
      </c>
      <c r="H996" t="str">
        <f>"UNEMPLOYMENT DEFICIT 2ND-2020"</f>
        <v>UNEMPLOYMENT DEFICIT 2ND-2020</v>
      </c>
    </row>
    <row r="997" spans="5:8" x14ac:dyDescent="0.25">
      <c r="E997" t="str">
        <f>""</f>
        <v/>
      </c>
      <c r="F997" t="str">
        <f>""</f>
        <v/>
      </c>
      <c r="H997" t="str">
        <f>"UNEMPLOYMENT DEFICIT 2ND-2020"</f>
        <v>UNEMPLOYMENT DEFICIT 2ND-2020</v>
      </c>
    </row>
    <row r="998" spans="5:8" x14ac:dyDescent="0.25">
      <c r="E998" t="str">
        <f>""</f>
        <v/>
      </c>
      <c r="F998" t="str">
        <f>""</f>
        <v/>
      </c>
      <c r="H998" t="str">
        <f>"UNEMPLOYMENT DEFICIT 2ND-2020"</f>
        <v>UNEMPLOYMENT DEFICIT 2ND-2020</v>
      </c>
    </row>
    <row r="999" spans="5:8" x14ac:dyDescent="0.25">
      <c r="E999" t="str">
        <f>""</f>
        <v/>
      </c>
      <c r="F999" t="str">
        <f>""</f>
        <v/>
      </c>
      <c r="H999" t="str">
        <f>"UNEMPLOYMENT DEFICIT 2ND-2020"</f>
        <v>UNEMPLOYMENT DEFICIT 2ND-2020</v>
      </c>
    </row>
    <row r="1000" spans="5:8" x14ac:dyDescent="0.25">
      <c r="E1000" t="str">
        <f>""</f>
        <v/>
      </c>
      <c r="F1000" t="str">
        <f>""</f>
        <v/>
      </c>
      <c r="H1000" t="str">
        <f>"UNEMPLOYMENT DEFICIT 2ND-2020"</f>
        <v>UNEMPLOYMENT DEFICIT 2ND-2020</v>
      </c>
    </row>
    <row r="1001" spans="5:8" x14ac:dyDescent="0.25">
      <c r="E1001" t="str">
        <f>""</f>
        <v/>
      </c>
      <c r="F1001" t="str">
        <f>""</f>
        <v/>
      </c>
      <c r="H1001" t="str">
        <f>"UNEMPLOYMENT DEFICIT 2ND-2020"</f>
        <v>UNEMPLOYMENT DEFICIT 2ND-2020</v>
      </c>
    </row>
    <row r="1002" spans="5:8" x14ac:dyDescent="0.25">
      <c r="E1002" t="str">
        <f>""</f>
        <v/>
      </c>
      <c r="F1002" t="str">
        <f>""</f>
        <v/>
      </c>
      <c r="H1002" t="str">
        <f>"UNEMPLOYMENT DEFICIT 2ND-2020"</f>
        <v>UNEMPLOYMENT DEFICIT 2ND-2020</v>
      </c>
    </row>
    <row r="1003" spans="5:8" x14ac:dyDescent="0.25">
      <c r="E1003" t="str">
        <f>""</f>
        <v/>
      </c>
      <c r="F1003" t="str">
        <f>""</f>
        <v/>
      </c>
      <c r="H1003" t="str">
        <f>"UNEMPLOYMENT DEFICIT 2ND-2020"</f>
        <v>UNEMPLOYMENT DEFICIT 2ND-2020</v>
      </c>
    </row>
    <row r="1004" spans="5:8" x14ac:dyDescent="0.25">
      <c r="E1004" t="str">
        <f>""</f>
        <v/>
      </c>
      <c r="F1004" t="str">
        <f>""</f>
        <v/>
      </c>
      <c r="H1004" t="str">
        <f>"UNEMPLOYMENT DEFICIT 2ND-2020"</f>
        <v>UNEMPLOYMENT DEFICIT 2ND-2020</v>
      </c>
    </row>
    <row r="1005" spans="5:8" x14ac:dyDescent="0.25">
      <c r="E1005" t="str">
        <f>""</f>
        <v/>
      </c>
      <c r="F1005" t="str">
        <f>""</f>
        <v/>
      </c>
      <c r="H1005" t="str">
        <f>"UNEMPLOYMENT DEFICIT 2ND-2020"</f>
        <v>UNEMPLOYMENT DEFICIT 2ND-2020</v>
      </c>
    </row>
    <row r="1006" spans="5:8" x14ac:dyDescent="0.25">
      <c r="E1006" t="str">
        <f>""</f>
        <v/>
      </c>
      <c r="F1006" t="str">
        <f>""</f>
        <v/>
      </c>
      <c r="H1006" t="str">
        <f>"UNEMPLOYMENT DEFICIT 2ND-2020"</f>
        <v>UNEMPLOYMENT DEFICIT 2ND-2020</v>
      </c>
    </row>
    <row r="1007" spans="5:8" x14ac:dyDescent="0.25">
      <c r="E1007" t="str">
        <f>""</f>
        <v/>
      </c>
      <c r="F1007" t="str">
        <f>""</f>
        <v/>
      </c>
      <c r="H1007" t="str">
        <f>"UNEMPLOYMENT DEFICIT 2ND-2020"</f>
        <v>UNEMPLOYMENT DEFICIT 2ND-2020</v>
      </c>
    </row>
    <row r="1008" spans="5:8" x14ac:dyDescent="0.25">
      <c r="E1008" t="str">
        <f>""</f>
        <v/>
      </c>
      <c r="F1008" t="str">
        <f>""</f>
        <v/>
      </c>
      <c r="H1008" t="str">
        <f>"UNEMPLOYMENT DEFICIT 2ND-2020"</f>
        <v>UNEMPLOYMENT DEFICIT 2ND-2020</v>
      </c>
    </row>
    <row r="1009" spans="1:8" x14ac:dyDescent="0.25">
      <c r="E1009" t="str">
        <f>""</f>
        <v/>
      </c>
      <c r="F1009" t="str">
        <f>""</f>
        <v/>
      </c>
      <c r="H1009" t="str">
        <f>"UNEMPLOYMENT DEFICIT 2ND-2020"</f>
        <v>UNEMPLOYMENT DEFICIT 2ND-2020</v>
      </c>
    </row>
    <row r="1010" spans="1:8" x14ac:dyDescent="0.25">
      <c r="E1010" t="str">
        <f>""</f>
        <v/>
      </c>
      <c r="F1010" t="str">
        <f>""</f>
        <v/>
      </c>
      <c r="H1010" t="str">
        <f>"UNEMPLOYMENT DEFICIT 2ND-2020"</f>
        <v>UNEMPLOYMENT DEFICIT 2ND-2020</v>
      </c>
    </row>
    <row r="1011" spans="1:8" x14ac:dyDescent="0.25">
      <c r="E1011" t="str">
        <f>""</f>
        <v/>
      </c>
      <c r="F1011" t="str">
        <f>""</f>
        <v/>
      </c>
      <c r="H1011" t="str">
        <f>"UNEMPLOYMENT DEFICIT 2ND-2020"</f>
        <v>UNEMPLOYMENT DEFICIT 2ND-2020</v>
      </c>
    </row>
    <row r="1012" spans="1:8" x14ac:dyDescent="0.25">
      <c r="E1012" t="str">
        <f>""</f>
        <v/>
      </c>
      <c r="F1012" t="str">
        <f>""</f>
        <v/>
      </c>
      <c r="H1012" t="str">
        <f>"UNEMPLOYMENT DEFICIT 2ND-2020"</f>
        <v>UNEMPLOYMENT DEFICIT 2ND-2020</v>
      </c>
    </row>
    <row r="1013" spans="1:8" x14ac:dyDescent="0.25">
      <c r="E1013" t="str">
        <f>""</f>
        <v/>
      </c>
      <c r="F1013" t="str">
        <f>""</f>
        <v/>
      </c>
      <c r="H1013" t="str">
        <f>"UNEMPLOYMENT DEFICIT 2ND-2020"</f>
        <v>UNEMPLOYMENT DEFICIT 2ND-2020</v>
      </c>
    </row>
    <row r="1014" spans="1:8" x14ac:dyDescent="0.25">
      <c r="E1014" t="str">
        <f>""</f>
        <v/>
      </c>
      <c r="F1014" t="str">
        <f>""</f>
        <v/>
      </c>
      <c r="H1014" t="str">
        <f>"UNEMPLOYMENT DEFICIT 2ND-2020"</f>
        <v>UNEMPLOYMENT DEFICIT 2ND-2020</v>
      </c>
    </row>
    <row r="1015" spans="1:8" x14ac:dyDescent="0.25">
      <c r="E1015" t="str">
        <f>""</f>
        <v/>
      </c>
      <c r="F1015" t="str">
        <f>""</f>
        <v/>
      </c>
      <c r="H1015" t="str">
        <f>"UNEMPLOYMENT DEFICIT 2ND-2020"</f>
        <v>UNEMPLOYMENT DEFICIT 2ND-2020</v>
      </c>
    </row>
    <row r="1016" spans="1:8" x14ac:dyDescent="0.25">
      <c r="E1016" t="str">
        <f>""</f>
        <v/>
      </c>
      <c r="F1016" t="str">
        <f>""</f>
        <v/>
      </c>
      <c r="H1016" t="str">
        <f>"UNEMPLOYMENT DEFICIT 2ND-2020"</f>
        <v>UNEMPLOYMENT DEFICIT 2ND-2020</v>
      </c>
    </row>
    <row r="1017" spans="1:8" x14ac:dyDescent="0.25">
      <c r="E1017" t="str">
        <f>""</f>
        <v/>
      </c>
      <c r="F1017" t="str">
        <f>""</f>
        <v/>
      </c>
      <c r="H1017" t="str">
        <f>"UNEMPLOYMENT DEFICIT 2ND-2020"</f>
        <v>UNEMPLOYMENT DEFICIT 2ND-2020</v>
      </c>
    </row>
    <row r="1018" spans="1:8" x14ac:dyDescent="0.25">
      <c r="A1018" t="s">
        <v>16</v>
      </c>
      <c r="B1018">
        <v>133534</v>
      </c>
      <c r="C1018" s="1">
        <v>150</v>
      </c>
      <c r="D1018" s="3">
        <v>44130</v>
      </c>
      <c r="E1018" t="str">
        <f>"304324"</f>
        <v>304324</v>
      </c>
      <c r="F1018" t="str">
        <f>"MEMBER ID:237381/J. PACHECO"</f>
        <v>MEMBER ID:237381/J. PACHECO</v>
      </c>
      <c r="G1018" s="1">
        <v>150</v>
      </c>
      <c r="H1018" t="str">
        <f>"MEMBER ID:237381/J. PACHECO"</f>
        <v>MEMBER ID:237381/J. PACHECO</v>
      </c>
    </row>
    <row r="1019" spans="1:8" x14ac:dyDescent="0.25">
      <c r="A1019" t="s">
        <v>77</v>
      </c>
      <c r="B1019">
        <v>133394</v>
      </c>
      <c r="C1019" s="1">
        <v>4010</v>
      </c>
      <c r="D1019" s="3">
        <v>44117</v>
      </c>
      <c r="E1019" t="str">
        <f>"WTR0055476 - 78"</f>
        <v>WTR0055476 - 78</v>
      </c>
      <c r="F1019" t="str">
        <f>"ACCT#0620010/ONSITE COUNCIL FE"</f>
        <v>ACCT#0620010/ONSITE COUNCIL FE</v>
      </c>
      <c r="G1019" s="1">
        <v>4010</v>
      </c>
      <c r="H1019" t="str">
        <f>"ACCT#0620010/ONSITE COUNCIL FE"</f>
        <v>ACCT#0620010/ONSITE COUNCIL FE</v>
      </c>
    </row>
    <row r="1020" spans="1:8" x14ac:dyDescent="0.25">
      <c r="A1020" t="s">
        <v>76</v>
      </c>
      <c r="B1020">
        <v>133535</v>
      </c>
      <c r="C1020" s="1">
        <v>200</v>
      </c>
      <c r="D1020" s="3">
        <v>44130</v>
      </c>
      <c r="E1020" t="str">
        <f>"102017"</f>
        <v>102017</v>
      </c>
      <c r="F1020" t="str">
        <f>"MEMBERSHIP DUES- Y MORALES"</f>
        <v>MEMBERSHIP DUES- Y MORALES</v>
      </c>
      <c r="G1020" s="1">
        <v>200</v>
      </c>
      <c r="H1020" t="str">
        <f>"MEMBERSHIP DUES- Y MORALES"</f>
        <v>MEMBERSHIP DUES- Y MORALES</v>
      </c>
    </row>
    <row r="1021" spans="1:8" x14ac:dyDescent="0.25">
      <c r="A1021" t="s">
        <v>75</v>
      </c>
      <c r="B1021">
        <v>133536</v>
      </c>
      <c r="C1021" s="1">
        <v>60</v>
      </c>
      <c r="D1021" s="3">
        <v>44130</v>
      </c>
      <c r="E1021" t="str">
        <f>"202010219748"</f>
        <v>202010219748</v>
      </c>
      <c r="F1021" t="str">
        <f>"EQUIP DECAL#57602"</f>
        <v>EQUIP DECAL#57602</v>
      </c>
      <c r="G1021" s="1">
        <v>20</v>
      </c>
      <c r="H1021" t="str">
        <f>"EQUIP DECAL#57602"</f>
        <v>EQUIP DECAL#57602</v>
      </c>
    </row>
    <row r="1022" spans="1:8" x14ac:dyDescent="0.25">
      <c r="E1022" t="str">
        <f>"202010219749"</f>
        <v>202010219749</v>
      </c>
      <c r="F1022" t="str">
        <f>"EQUIP DEAL#57601"</f>
        <v>EQUIP DEAL#57601</v>
      </c>
      <c r="G1022" s="1">
        <v>20</v>
      </c>
      <c r="H1022" t="str">
        <f>"EQUIP DEAL#57601"</f>
        <v>EQUIP DEAL#57601</v>
      </c>
    </row>
    <row r="1023" spans="1:8" x14ac:dyDescent="0.25">
      <c r="E1023" t="str">
        <f>"202010219750"</f>
        <v>202010219750</v>
      </c>
      <c r="F1023" t="str">
        <f>"EQUIP DECAL#54465"</f>
        <v>EQUIP DECAL#54465</v>
      </c>
      <c r="G1023" s="1">
        <v>20</v>
      </c>
      <c r="H1023" t="str">
        <f>"EQUIP DECAL#54465"</f>
        <v>EQUIP DECAL#54465</v>
      </c>
    </row>
    <row r="1024" spans="1:8" x14ac:dyDescent="0.25">
      <c r="A1024" t="s">
        <v>74</v>
      </c>
      <c r="B1024">
        <v>133537</v>
      </c>
      <c r="C1024" s="1">
        <v>180</v>
      </c>
      <c r="D1024" s="3">
        <v>44130</v>
      </c>
      <c r="E1024" t="s">
        <v>73</v>
      </c>
      <c r="F1024" s="4" t="str">
        <f>"RESTITUTION - B. PARKER"</f>
        <v>RESTITUTION - B. PARKER</v>
      </c>
      <c r="G1024" s="1">
        <v>180</v>
      </c>
      <c r="H1024" t="str">
        <f>"RESTITUTION - B. PARKER"</f>
        <v>RESTITUTION - B. PARKER</v>
      </c>
    </row>
    <row r="1025" spans="1:8" x14ac:dyDescent="0.25">
      <c r="A1025" t="s">
        <v>72</v>
      </c>
      <c r="B1025">
        <v>133395</v>
      </c>
      <c r="C1025" s="1">
        <v>155</v>
      </c>
      <c r="D1025" s="3">
        <v>44117</v>
      </c>
      <c r="E1025" t="str">
        <f>"5599065"</f>
        <v>5599065</v>
      </c>
      <c r="F1025" t="str">
        <f>"CUST#1-238865/375 RIVERSIDE DR"</f>
        <v>CUST#1-238865/375 RIVERSIDE DR</v>
      </c>
      <c r="G1025" s="1">
        <v>155</v>
      </c>
      <c r="H1025" t="str">
        <f>"CUST#1-238865/375 RIVERSIDE DR"</f>
        <v>CUST#1-238865/375 RIVERSIDE DR</v>
      </c>
    </row>
    <row r="1026" spans="1:8" x14ac:dyDescent="0.25">
      <c r="A1026" t="s">
        <v>71</v>
      </c>
      <c r="B1026">
        <v>133538</v>
      </c>
      <c r="C1026" s="1">
        <v>1485</v>
      </c>
      <c r="D1026" s="3">
        <v>44130</v>
      </c>
      <c r="E1026" t="str">
        <f>"202010209714"</f>
        <v>202010209714</v>
      </c>
      <c r="F1026" t="str">
        <f>"INV 4282 / 4253"</f>
        <v>INV 4282 / 4253</v>
      </c>
      <c r="G1026" s="1">
        <v>890</v>
      </c>
      <c r="H1026" t="str">
        <f>"J. LOSOYA"</f>
        <v>J. LOSOYA</v>
      </c>
    </row>
    <row r="1027" spans="1:8" x14ac:dyDescent="0.25">
      <c r="E1027" t="str">
        <f>""</f>
        <v/>
      </c>
      <c r="F1027" t="str">
        <f>""</f>
        <v/>
      </c>
      <c r="H1027" t="str">
        <f>"J. GOGOLEWSKI"</f>
        <v>J. GOGOLEWSKI</v>
      </c>
    </row>
    <row r="1028" spans="1:8" x14ac:dyDescent="0.25">
      <c r="E1028" t="str">
        <f>"4200"</f>
        <v>4200</v>
      </c>
      <c r="F1028" t="str">
        <f>"INV 4200"</f>
        <v>INV 4200</v>
      </c>
      <c r="G1028" s="1">
        <v>595</v>
      </c>
      <c r="H1028" t="str">
        <f>"INV 4200"</f>
        <v>INV 4200</v>
      </c>
    </row>
    <row r="1029" spans="1:8" x14ac:dyDescent="0.25">
      <c r="A1029" t="s">
        <v>70</v>
      </c>
      <c r="B1029">
        <v>133539</v>
      </c>
      <c r="C1029" s="1">
        <v>118.08</v>
      </c>
      <c r="D1029" s="3">
        <v>44130</v>
      </c>
      <c r="E1029" t="str">
        <f>"202010219740"</f>
        <v>202010219740</v>
      </c>
      <c r="F1029" t="str">
        <f>"INDIGENT HEALTH"</f>
        <v>INDIGENT HEALTH</v>
      </c>
      <c r="G1029" s="1">
        <v>118.08</v>
      </c>
      <c r="H1029" t="str">
        <f>"INDIGENT HEALTH"</f>
        <v>INDIGENT HEALTH</v>
      </c>
    </row>
    <row r="1030" spans="1:8" x14ac:dyDescent="0.25">
      <c r="E1030" t="str">
        <f>""</f>
        <v/>
      </c>
      <c r="F1030" t="str">
        <f>""</f>
        <v/>
      </c>
      <c r="H1030" t="str">
        <f>"INDIGENT HEALTH"</f>
        <v>INDIGENT HEALTH</v>
      </c>
    </row>
    <row r="1031" spans="1:8" x14ac:dyDescent="0.25">
      <c r="A1031" t="s">
        <v>69</v>
      </c>
      <c r="B1031">
        <v>133396</v>
      </c>
      <c r="C1031" s="1">
        <v>33.270000000000003</v>
      </c>
      <c r="D1031" s="3">
        <v>44117</v>
      </c>
      <c r="E1031" t="str">
        <f>"4584*98024*1"</f>
        <v>4584*98024*1</v>
      </c>
      <c r="F1031" t="str">
        <f>"JAIL MEDICAL"</f>
        <v>JAIL MEDICAL</v>
      </c>
      <c r="G1031" s="1">
        <v>33.270000000000003</v>
      </c>
      <c r="H1031" t="str">
        <f>"JAIL MEDICAL"</f>
        <v>JAIL MEDICAL</v>
      </c>
    </row>
    <row r="1032" spans="1:8" x14ac:dyDescent="0.25">
      <c r="A1032" t="s">
        <v>68</v>
      </c>
      <c r="B1032">
        <v>133397</v>
      </c>
      <c r="C1032" s="1">
        <v>1117.75</v>
      </c>
      <c r="D1032" s="3">
        <v>44117</v>
      </c>
      <c r="E1032" t="str">
        <f>"J2-65736"</f>
        <v>J2-65736</v>
      </c>
      <c r="F1032" t="str">
        <f>"A8270630 - P.L. BOYDSTON"</f>
        <v>A8270630 - P.L. BOYDSTON</v>
      </c>
      <c r="G1032" s="1">
        <v>114.75</v>
      </c>
      <c r="H1032" t="str">
        <f>"A8270630 - P.L. BOYDSTON"</f>
        <v>A8270630 - P.L. BOYDSTON</v>
      </c>
    </row>
    <row r="1033" spans="1:8" x14ac:dyDescent="0.25">
      <c r="E1033" t="str">
        <f>"J2-66662"</f>
        <v>J2-66662</v>
      </c>
      <c r="F1033" t="str">
        <f>"A-12379 - M. SHAUN"</f>
        <v>A-12379 - M. SHAUN</v>
      </c>
      <c r="G1033" s="1">
        <v>114.75</v>
      </c>
      <c r="H1033" t="str">
        <f>"A-12379 - M. SHAUN"</f>
        <v>A-12379 - M. SHAUN</v>
      </c>
    </row>
    <row r="1034" spans="1:8" x14ac:dyDescent="0.25">
      <c r="E1034" t="str">
        <f>"J2-68442"</f>
        <v>J2-68442</v>
      </c>
      <c r="F1034" t="str">
        <f>"A-12544 - L. CABRERA"</f>
        <v>A-12544 - L. CABRERA</v>
      </c>
      <c r="G1034" s="1">
        <v>114.75</v>
      </c>
      <c r="H1034" t="str">
        <f>"A-12544 - L. CABRERA"</f>
        <v>A-12544 - L. CABRERA</v>
      </c>
    </row>
    <row r="1035" spans="1:8" x14ac:dyDescent="0.25">
      <c r="E1035" t="str">
        <f>"J2-68445"</f>
        <v>J2-68445</v>
      </c>
      <c r="F1035" t="str">
        <f>"A-12545 - D.F. RUIZ"</f>
        <v>A-12545 - D.F. RUIZ</v>
      </c>
      <c r="G1035" s="1">
        <v>114.75</v>
      </c>
      <c r="H1035" t="str">
        <f>"A-12545 - D.F. RUIZ"</f>
        <v>A-12545 - D.F. RUIZ</v>
      </c>
    </row>
    <row r="1036" spans="1:8" x14ac:dyDescent="0.25">
      <c r="E1036" t="str">
        <f>"J2-68502"</f>
        <v>J2-68502</v>
      </c>
      <c r="F1036" t="str">
        <f>"A8286523 - L.M. GARCIA"</f>
        <v>A8286523 - L.M. GARCIA</v>
      </c>
      <c r="G1036" s="1">
        <v>114.75</v>
      </c>
      <c r="H1036" t="str">
        <f>"A8286523 - L.M. GARCIA"</f>
        <v>A8286523 - L.M. GARCIA</v>
      </c>
    </row>
    <row r="1037" spans="1:8" x14ac:dyDescent="0.25">
      <c r="E1037" t="str">
        <f>"J2-68503"</f>
        <v>J2-68503</v>
      </c>
      <c r="F1037" t="str">
        <f>"A8329850 - R.C. GARCIA"</f>
        <v>A8329850 - R.C. GARCIA</v>
      </c>
      <c r="G1037" s="1">
        <v>157.25</v>
      </c>
      <c r="H1037" t="str">
        <f>"A8329850 - R.C. GARCIA"</f>
        <v>A8329850 - R.C. GARCIA</v>
      </c>
    </row>
    <row r="1038" spans="1:8" x14ac:dyDescent="0.25">
      <c r="E1038" t="str">
        <f>"J2-68516"</f>
        <v>J2-68516</v>
      </c>
      <c r="F1038" t="str">
        <f>"A-13666 - J.H.PEARSON  JR."</f>
        <v>A-13666 - J.H.PEARSON  JR.</v>
      </c>
      <c r="G1038" s="1">
        <v>114.75</v>
      </c>
      <c r="H1038" t="str">
        <f>"A-13666 - J.H.PEARSON  JR."</f>
        <v>A-13666 - J.H.PEARSON  JR.</v>
      </c>
    </row>
    <row r="1039" spans="1:8" x14ac:dyDescent="0.25">
      <c r="E1039" t="str">
        <f>"J2-68541"</f>
        <v>J2-68541</v>
      </c>
      <c r="F1039" t="str">
        <f>"A8329855 - D.L. CLAUSSEN"</f>
        <v>A8329855 - D.L. CLAUSSEN</v>
      </c>
      <c r="G1039" s="1">
        <v>157.25</v>
      </c>
      <c r="H1039" t="str">
        <f>"A8329855 - D.L. CLAUSSEN"</f>
        <v>A8329855 - D.L. CLAUSSEN</v>
      </c>
    </row>
    <row r="1040" spans="1:8" x14ac:dyDescent="0.25">
      <c r="E1040" t="str">
        <f>"J2-68611"</f>
        <v>J2-68611</v>
      </c>
      <c r="F1040" t="str">
        <f>"A8329858 - J.D. ARCHER"</f>
        <v>A8329858 - J.D. ARCHER</v>
      </c>
      <c r="G1040" s="1">
        <v>114.75</v>
      </c>
      <c r="H1040" t="str">
        <f>"A8329858 - J.D. ARCHER"</f>
        <v>A8329858 - J.D. ARCHER</v>
      </c>
    </row>
    <row r="1041" spans="1:8" x14ac:dyDescent="0.25">
      <c r="A1041" t="s">
        <v>68</v>
      </c>
      <c r="B1041">
        <v>133540</v>
      </c>
      <c r="C1041" s="1">
        <v>194.9</v>
      </c>
      <c r="D1041" s="3">
        <v>44130</v>
      </c>
      <c r="E1041" t="str">
        <f>"3CO-1577-20"</f>
        <v>3CO-1577-20</v>
      </c>
      <c r="F1041" t="str">
        <f>"A8329852 - C. PERNER"</f>
        <v>A8329852 - C. PERNER</v>
      </c>
      <c r="G1041" s="1">
        <v>113.9</v>
      </c>
      <c r="H1041" t="str">
        <f>"A8329852 - C. PERNER"</f>
        <v>A8329852 - C. PERNER</v>
      </c>
    </row>
    <row r="1042" spans="1:8" x14ac:dyDescent="0.25">
      <c r="E1042" t="str">
        <f>"J2-68209"</f>
        <v>J2-68209</v>
      </c>
      <c r="F1042" t="str">
        <f>"A-13201 E.J. PEREZ"</f>
        <v>A-13201 E.J. PEREZ</v>
      </c>
      <c r="G1042" s="1">
        <v>81</v>
      </c>
      <c r="H1042" t="str">
        <f>"A-13201 E.J. PEREZ"</f>
        <v>A-13201 E.J. PEREZ</v>
      </c>
    </row>
    <row r="1043" spans="1:8" x14ac:dyDescent="0.25">
      <c r="A1043" t="s">
        <v>67</v>
      </c>
      <c r="B1043">
        <v>133541</v>
      </c>
      <c r="C1043" s="1">
        <v>1600</v>
      </c>
      <c r="D1043" s="3">
        <v>44130</v>
      </c>
      <c r="E1043" t="str">
        <f>"202010209719"</f>
        <v>202010209719</v>
      </c>
      <c r="F1043" t="str">
        <f>"INV 211007-WKP-01"</f>
        <v>INV 211007-WKP-01</v>
      </c>
      <c r="G1043" s="1">
        <v>1600</v>
      </c>
      <c r="H1043" t="str">
        <f>"M. PLOCICA"</f>
        <v>M. PLOCICA</v>
      </c>
    </row>
    <row r="1044" spans="1:8" x14ac:dyDescent="0.25">
      <c r="E1044" t="str">
        <f>""</f>
        <v/>
      </c>
      <c r="F1044" t="str">
        <f>""</f>
        <v/>
      </c>
      <c r="H1044" t="str">
        <f>"J. GOGOLEWSKI"</f>
        <v>J. GOGOLEWSKI</v>
      </c>
    </row>
    <row r="1045" spans="1:8" x14ac:dyDescent="0.25">
      <c r="A1045" t="s">
        <v>66</v>
      </c>
      <c r="B1045">
        <v>3341</v>
      </c>
      <c r="C1045" s="1">
        <v>990.5</v>
      </c>
      <c r="D1045" s="3">
        <v>44118</v>
      </c>
      <c r="E1045" t="str">
        <f>"182163"</f>
        <v>182163</v>
      </c>
      <c r="F1045" t="str">
        <f>"ACCT#188757/LBJ BLDG/HLTH DEPT"</f>
        <v>ACCT#188757/LBJ BLDG/HLTH DEPT</v>
      </c>
      <c r="G1045" s="1">
        <v>69</v>
      </c>
      <c r="H1045" t="str">
        <f>"ACCT#188757/LBJ BLDG/HLTH DEPT"</f>
        <v>ACCT#188757/LBJ BLDG/HLTH DEPT</v>
      </c>
    </row>
    <row r="1046" spans="1:8" x14ac:dyDescent="0.25">
      <c r="E1046" t="str">
        <f>"182180"</f>
        <v>182180</v>
      </c>
      <c r="F1046" t="str">
        <f>"ACCT#188757/PCT4 RD&amp;BRIDGE BRN"</f>
        <v>ACCT#188757/PCT4 RD&amp;BRIDGE BRN</v>
      </c>
      <c r="G1046" s="1">
        <v>95.5</v>
      </c>
      <c r="H1046" t="str">
        <f>"ACCT#188757/PCT4 RD&amp;BRIDGE BRN"</f>
        <v>ACCT#188757/PCT4 RD&amp;BRIDGE BRN</v>
      </c>
    </row>
    <row r="1047" spans="1:8" x14ac:dyDescent="0.25">
      <c r="E1047" t="str">
        <f>"182450"</f>
        <v>182450</v>
      </c>
      <c r="F1047" t="str">
        <f>"ACCT#188757/TAX OFFICE"</f>
        <v>ACCT#188757/TAX OFFICE</v>
      </c>
      <c r="G1047" s="1">
        <v>102</v>
      </c>
      <c r="H1047" t="str">
        <f>"ACCT#188757/TAX OFFICE"</f>
        <v>ACCT#188757/TAX OFFICE</v>
      </c>
    </row>
    <row r="1048" spans="1:8" x14ac:dyDescent="0.25">
      <c r="E1048" t="str">
        <f>"183098"</f>
        <v>183098</v>
      </c>
      <c r="F1048" t="str">
        <f>"ACCT#188757/EXT HABITAT OFFICE"</f>
        <v>ACCT#188757/EXT HABITAT OFFICE</v>
      </c>
      <c r="G1048" s="1">
        <v>89</v>
      </c>
      <c r="H1048" t="str">
        <f>"ACCT#188757/EXT HABITAT OFFICE"</f>
        <v>ACCT#188757/EXT HABITAT OFFICE</v>
      </c>
    </row>
    <row r="1049" spans="1:8" x14ac:dyDescent="0.25">
      <c r="E1049" t="str">
        <f>"183111"</f>
        <v>183111</v>
      </c>
      <c r="F1049" t="str">
        <f>"ACCT#188757/HISTORIC JAIL"</f>
        <v>ACCT#188757/HISTORIC JAIL</v>
      </c>
      <c r="G1049" s="1">
        <v>76</v>
      </c>
      <c r="H1049" t="str">
        <f>"ACCT#188757/HISTORIC JAIL"</f>
        <v>ACCT#188757/HISTORIC JAIL</v>
      </c>
    </row>
    <row r="1050" spans="1:8" x14ac:dyDescent="0.25">
      <c r="E1050" t="str">
        <f>"183114"</f>
        <v>183114</v>
      </c>
      <c r="F1050" t="str">
        <f>"ACCT#188757/COURTHOUSE"</f>
        <v>ACCT#188757/COURTHOUSE</v>
      </c>
      <c r="G1050" s="1">
        <v>137</v>
      </c>
      <c r="H1050" t="str">
        <f>"ACCT#188757/COURTHOUSE"</f>
        <v>ACCT#188757/COURTHOUSE</v>
      </c>
    </row>
    <row r="1051" spans="1:8" x14ac:dyDescent="0.25">
      <c r="E1051" t="str">
        <f>"183130"</f>
        <v>183130</v>
      </c>
      <c r="F1051" t="str">
        <f>"ACCT#188757/JUVENILE PROBATION"</f>
        <v>ACCT#188757/JUVENILE PROBATION</v>
      </c>
      <c r="G1051" s="1">
        <v>132</v>
      </c>
      <c r="H1051" t="str">
        <f>"ACCT#188757/JUVENILE PROBATION"</f>
        <v>ACCT#188757/JUVENILE PROBATION</v>
      </c>
    </row>
    <row r="1052" spans="1:8" x14ac:dyDescent="0.25">
      <c r="E1052" t="str">
        <f>"183362"</f>
        <v>183362</v>
      </c>
      <c r="F1052" t="str">
        <f>"ACCT#188757/ANIMAL SHELTER"</f>
        <v>ACCT#188757/ANIMAL SHELTER</v>
      </c>
      <c r="G1052" s="1">
        <v>290</v>
      </c>
      <c r="H1052" t="str">
        <f>"ACCT#188757/ANIMAL SHELTER"</f>
        <v>ACCT#188757/ANIMAL SHELTER</v>
      </c>
    </row>
    <row r="1053" spans="1:8" x14ac:dyDescent="0.25">
      <c r="A1053" t="s">
        <v>66</v>
      </c>
      <c r="B1053">
        <v>3408</v>
      </c>
      <c r="C1053" s="1">
        <v>296</v>
      </c>
      <c r="D1053" s="3">
        <v>44131</v>
      </c>
      <c r="E1053" t="str">
        <f>"185788"</f>
        <v>185788</v>
      </c>
      <c r="F1053" t="str">
        <f>"ACCT#188757/CEDAR CREEK PARK"</f>
        <v>ACCT#188757/CEDAR CREEK PARK</v>
      </c>
      <c r="G1053" s="1">
        <v>125</v>
      </c>
      <c r="H1053" t="str">
        <f>"ACCT#188757/CEDAR CREEK PARK"</f>
        <v>ACCT#188757/CEDAR CREEK PARK</v>
      </c>
    </row>
    <row r="1054" spans="1:8" x14ac:dyDescent="0.25">
      <c r="E1054" t="str">
        <f>"185804"</f>
        <v>185804</v>
      </c>
      <c r="F1054" t="str">
        <f>"ACCT#188757/JP 3 TAX OFFICE"</f>
        <v>ACCT#188757/JP 3 TAX OFFICE</v>
      </c>
      <c r="G1054" s="1">
        <v>95</v>
      </c>
      <c r="H1054" t="str">
        <f>"ACCT#188757/JP 3 TAX OFFICE"</f>
        <v>ACCT#188757/JP 3 TAX OFFICE</v>
      </c>
    </row>
    <row r="1055" spans="1:8" x14ac:dyDescent="0.25">
      <c r="E1055" t="str">
        <f>"186259"</f>
        <v>186259</v>
      </c>
      <c r="F1055" t="str">
        <f>"ACCT#188757/DPS/TDL"</f>
        <v>ACCT#188757/DPS/TDL</v>
      </c>
      <c r="G1055" s="1">
        <v>76</v>
      </c>
      <c r="H1055" t="str">
        <f>"ACCT#188757/DPS/TDL"</f>
        <v>ACCT#188757/DPS/TDL</v>
      </c>
    </row>
    <row r="1056" spans="1:8" x14ac:dyDescent="0.25">
      <c r="A1056" t="s">
        <v>65</v>
      </c>
      <c r="B1056">
        <v>133542</v>
      </c>
      <c r="C1056" s="1">
        <v>185</v>
      </c>
      <c r="D1056" s="3">
        <v>44130</v>
      </c>
      <c r="E1056" t="str">
        <f>"911592"</f>
        <v>911592</v>
      </c>
      <c r="F1056" t="str">
        <f>"DISPOSAL"</f>
        <v>DISPOSAL</v>
      </c>
      <c r="G1056" s="1">
        <v>185</v>
      </c>
      <c r="H1056" t="str">
        <f>"DISPOSAL"</f>
        <v>DISPOSAL</v>
      </c>
    </row>
    <row r="1057" spans="1:8" x14ac:dyDescent="0.25">
      <c r="A1057" t="s">
        <v>64</v>
      </c>
      <c r="B1057">
        <v>3329</v>
      </c>
      <c r="C1057" s="1">
        <v>2150</v>
      </c>
      <c r="D1057" s="3">
        <v>44118</v>
      </c>
      <c r="E1057" t="str">
        <f>"202009309097"</f>
        <v>202009309097</v>
      </c>
      <c r="F1057" t="str">
        <f>"16 769"</f>
        <v>16 769</v>
      </c>
      <c r="G1057" s="1">
        <v>400</v>
      </c>
      <c r="H1057" t="str">
        <f>"16 769"</f>
        <v>16 769</v>
      </c>
    </row>
    <row r="1058" spans="1:8" x14ac:dyDescent="0.25">
      <c r="E1058" t="str">
        <f>"202009309099"</f>
        <v>202009309099</v>
      </c>
      <c r="F1058" t="str">
        <f>"SOBON"</f>
        <v>SOBON</v>
      </c>
      <c r="G1058" s="1">
        <v>100</v>
      </c>
      <c r="H1058" t="str">
        <f>"SOBON"</f>
        <v>SOBON</v>
      </c>
    </row>
    <row r="1059" spans="1:8" x14ac:dyDescent="0.25">
      <c r="E1059" t="str">
        <f>"202010019117"</f>
        <v>202010019117</v>
      </c>
      <c r="F1059" t="str">
        <f>"1621-335"</f>
        <v>1621-335</v>
      </c>
      <c r="G1059" s="1">
        <v>100</v>
      </c>
      <c r="H1059" t="str">
        <f>"1621-335"</f>
        <v>1621-335</v>
      </c>
    </row>
    <row r="1060" spans="1:8" x14ac:dyDescent="0.25">
      <c r="E1060" t="str">
        <f>"202010019118"</f>
        <v>202010019118</v>
      </c>
      <c r="F1060" t="str">
        <f>"DCPC-20-002"</f>
        <v>DCPC-20-002</v>
      </c>
      <c r="G1060" s="1">
        <v>250</v>
      </c>
      <c r="H1060" t="str">
        <f>"DCPC-20-002"</f>
        <v>DCPC-20-002</v>
      </c>
    </row>
    <row r="1061" spans="1:8" x14ac:dyDescent="0.25">
      <c r="E1061" t="str">
        <f>"202010059340"</f>
        <v>202010059340</v>
      </c>
      <c r="F1061" t="str">
        <f>"02.05222  02.05221"</f>
        <v>02.05222  02.05221</v>
      </c>
      <c r="G1061" s="1">
        <v>375</v>
      </c>
      <c r="H1061" t="str">
        <f>"02.05222  02.05221"</f>
        <v>02.05222  02.05221</v>
      </c>
    </row>
    <row r="1062" spans="1:8" x14ac:dyDescent="0.25">
      <c r="E1062" t="str">
        <f>"202010059373"</f>
        <v>202010059373</v>
      </c>
      <c r="F1062" t="str">
        <f>"407058-2"</f>
        <v>407058-2</v>
      </c>
      <c r="G1062" s="1">
        <v>250</v>
      </c>
      <c r="H1062" t="str">
        <f>"407058-2"</f>
        <v>407058-2</v>
      </c>
    </row>
    <row r="1063" spans="1:8" x14ac:dyDescent="0.25">
      <c r="E1063" t="str">
        <f>"202010059374"</f>
        <v>202010059374</v>
      </c>
      <c r="F1063" t="str">
        <f>"310072019"</f>
        <v>310072019</v>
      </c>
      <c r="G1063" s="1">
        <v>250</v>
      </c>
      <c r="H1063" t="str">
        <f>"310072019"</f>
        <v>310072019</v>
      </c>
    </row>
    <row r="1064" spans="1:8" x14ac:dyDescent="0.25">
      <c r="E1064" t="str">
        <f>"202010069491"</f>
        <v>202010069491</v>
      </c>
      <c r="F1064" t="str">
        <f>"19-19914"</f>
        <v>19-19914</v>
      </c>
      <c r="G1064" s="1">
        <v>425</v>
      </c>
      <c r="H1064" t="str">
        <f>"19-19914"</f>
        <v>19-19914</v>
      </c>
    </row>
    <row r="1065" spans="1:8" x14ac:dyDescent="0.25">
      <c r="A1065" t="s">
        <v>64</v>
      </c>
      <c r="B1065">
        <v>3399</v>
      </c>
      <c r="C1065" s="1">
        <v>2050</v>
      </c>
      <c r="D1065" s="3">
        <v>44131</v>
      </c>
      <c r="E1065" t="str">
        <f>"202010149567"</f>
        <v>202010149567</v>
      </c>
      <c r="F1065" t="str">
        <f>"AC-2020-0703  AC-2020-0703A"</f>
        <v>AC-2020-0703  AC-2020-0703A</v>
      </c>
      <c r="G1065" s="1">
        <v>200</v>
      </c>
      <c r="H1065" t="str">
        <f>"AC-2020-0703  AC-2020-0703A"</f>
        <v>AC-2020-0703  AC-2020-0703A</v>
      </c>
    </row>
    <row r="1066" spans="1:8" x14ac:dyDescent="0.25">
      <c r="E1066" t="str">
        <f>"202010149581"</f>
        <v>202010149581</v>
      </c>
      <c r="F1066" t="str">
        <f>"020903.2"</f>
        <v>020903.2</v>
      </c>
      <c r="G1066" s="1">
        <v>400</v>
      </c>
      <c r="H1066" t="str">
        <f>"020903.2"</f>
        <v>020903.2</v>
      </c>
    </row>
    <row r="1067" spans="1:8" x14ac:dyDescent="0.25">
      <c r="E1067" t="str">
        <f>"202010149582"</f>
        <v>202010149582</v>
      </c>
      <c r="F1067" t="str">
        <f>"20190064"</f>
        <v>20190064</v>
      </c>
      <c r="G1067" s="1">
        <v>400</v>
      </c>
      <c r="H1067" t="str">
        <f>"20190064"</f>
        <v>20190064</v>
      </c>
    </row>
    <row r="1068" spans="1:8" x14ac:dyDescent="0.25">
      <c r="E1068" t="str">
        <f>"202010149583"</f>
        <v>202010149583</v>
      </c>
      <c r="F1068" t="str">
        <f>"4071920-3"</f>
        <v>4071920-3</v>
      </c>
      <c r="G1068" s="1">
        <v>400</v>
      </c>
      <c r="H1068" t="str">
        <f>"4071920-3"</f>
        <v>4071920-3</v>
      </c>
    </row>
    <row r="1069" spans="1:8" x14ac:dyDescent="0.25">
      <c r="E1069" t="str">
        <f>"202010149584"</f>
        <v>202010149584</v>
      </c>
      <c r="F1069" t="str">
        <f>"1JP51318A"</f>
        <v>1JP51318A</v>
      </c>
      <c r="G1069" s="1">
        <v>400</v>
      </c>
      <c r="H1069" t="str">
        <f>"1JP51318A"</f>
        <v>1JP51318A</v>
      </c>
    </row>
    <row r="1070" spans="1:8" x14ac:dyDescent="0.25">
      <c r="E1070" t="str">
        <f>"202010209677"</f>
        <v>202010209677</v>
      </c>
      <c r="F1070" t="str">
        <f>"4071920-A"</f>
        <v>4071920-A</v>
      </c>
      <c r="G1070" s="1">
        <v>250</v>
      </c>
      <c r="H1070" t="str">
        <f>"4071920-A"</f>
        <v>4071920-A</v>
      </c>
    </row>
    <row r="1071" spans="1:8" x14ac:dyDescent="0.25">
      <c r="A1071" t="s">
        <v>63</v>
      </c>
      <c r="B1071">
        <v>133543</v>
      </c>
      <c r="C1071" s="1">
        <v>366.98</v>
      </c>
      <c r="D1071" s="3">
        <v>44130</v>
      </c>
      <c r="E1071" t="str">
        <f>"60256173"</f>
        <v>60256173</v>
      </c>
      <c r="F1071" t="str">
        <f>"INV 60256173"</f>
        <v>INV 60256173</v>
      </c>
      <c r="G1071" s="1">
        <v>366.98</v>
      </c>
      <c r="H1071" t="str">
        <f>"INV 60256173"</f>
        <v>INV 60256173</v>
      </c>
    </row>
    <row r="1072" spans="1:8" x14ac:dyDescent="0.25">
      <c r="A1072" t="s">
        <v>62</v>
      </c>
      <c r="B1072">
        <v>133398</v>
      </c>
      <c r="C1072" s="1">
        <v>600</v>
      </c>
      <c r="D1072" s="3">
        <v>44117</v>
      </c>
      <c r="E1072" t="str">
        <f>"843060994"</f>
        <v>843060994</v>
      </c>
      <c r="F1072" t="str">
        <f>"ACCT#1000648597/WEST INFO CHRG"</f>
        <v>ACCT#1000648597/WEST INFO CHRG</v>
      </c>
      <c r="G1072" s="1">
        <v>600</v>
      </c>
      <c r="H1072" t="str">
        <f>"ACCT#1000648597/WEST INFO CHRG"</f>
        <v>ACCT#1000648597/WEST INFO CHRG</v>
      </c>
    </row>
    <row r="1073" spans="1:8" x14ac:dyDescent="0.25">
      <c r="A1073" t="s">
        <v>61</v>
      </c>
      <c r="B1073">
        <v>3350</v>
      </c>
      <c r="C1073" s="1">
        <v>735</v>
      </c>
      <c r="D1073" s="3">
        <v>44118</v>
      </c>
      <c r="E1073" t="str">
        <f>"202010059362"</f>
        <v>202010059362</v>
      </c>
      <c r="F1073" t="str">
        <f>"091-3192"</f>
        <v>091-3192</v>
      </c>
      <c r="G1073" s="1">
        <v>735</v>
      </c>
      <c r="H1073" t="str">
        <f>"091-3192"</f>
        <v>091-3192</v>
      </c>
    </row>
    <row r="1074" spans="1:8" x14ac:dyDescent="0.25">
      <c r="A1074" t="s">
        <v>61</v>
      </c>
      <c r="B1074">
        <v>3417</v>
      </c>
      <c r="C1074" s="1">
        <v>3217.75</v>
      </c>
      <c r="D1074" s="3">
        <v>44131</v>
      </c>
      <c r="E1074" t="str">
        <f>"202010149575"</f>
        <v>202010149575</v>
      </c>
      <c r="F1074" t="str">
        <f>"423-6426"</f>
        <v>423-6426</v>
      </c>
      <c r="G1074" s="1">
        <v>1290</v>
      </c>
      <c r="H1074" t="str">
        <f>"423-6426"</f>
        <v>423-6426</v>
      </c>
    </row>
    <row r="1075" spans="1:8" x14ac:dyDescent="0.25">
      <c r="E1075" t="str">
        <f>"202010149576"</f>
        <v>202010149576</v>
      </c>
      <c r="F1075" t="str">
        <f>"423-7276"</f>
        <v>423-7276</v>
      </c>
      <c r="G1075" s="1">
        <v>1927.75</v>
      </c>
      <c r="H1075" t="str">
        <f>"423-7276"</f>
        <v>423-7276</v>
      </c>
    </row>
    <row r="1076" spans="1:8" x14ac:dyDescent="0.25">
      <c r="A1076" t="s">
        <v>60</v>
      </c>
      <c r="B1076">
        <v>133399</v>
      </c>
      <c r="C1076" s="1">
        <v>632.58000000000004</v>
      </c>
      <c r="D1076" s="3">
        <v>44117</v>
      </c>
      <c r="E1076" t="str">
        <f>"0167100091620"</f>
        <v>0167100091620</v>
      </c>
      <c r="F1076" t="str">
        <f>"ACCT#8260 16 017 0167100"</f>
        <v>ACCT#8260 16 017 0167100</v>
      </c>
      <c r="G1076" s="1">
        <v>632.58000000000004</v>
      </c>
      <c r="H1076" t="str">
        <f>"ACCT#8260 16 017 0167100"</f>
        <v>ACCT#8260 16 017 0167100</v>
      </c>
    </row>
    <row r="1077" spans="1:8" x14ac:dyDescent="0.25">
      <c r="A1077" t="s">
        <v>60</v>
      </c>
      <c r="B1077">
        <v>133544</v>
      </c>
      <c r="C1077" s="1">
        <v>3733.71</v>
      </c>
      <c r="D1077" s="3">
        <v>44130</v>
      </c>
      <c r="E1077" t="str">
        <f>"0003669100820"</f>
        <v>0003669100820</v>
      </c>
      <c r="F1077" t="str">
        <f>"ACCT#8260163000003669"</f>
        <v>ACCT#8260163000003669</v>
      </c>
      <c r="G1077" s="1">
        <v>3067.92</v>
      </c>
      <c r="H1077" t="str">
        <f>"ACCT#8260163000003669"</f>
        <v>ACCT#8260163000003669</v>
      </c>
    </row>
    <row r="1078" spans="1:8" x14ac:dyDescent="0.25">
      <c r="E1078" t="str">
        <f>""</f>
        <v/>
      </c>
      <c r="F1078" t="str">
        <f>""</f>
        <v/>
      </c>
      <c r="H1078" t="str">
        <f>"ACCT#8260163000003669"</f>
        <v>ACCT#8260163000003669</v>
      </c>
    </row>
    <row r="1079" spans="1:8" x14ac:dyDescent="0.25">
      <c r="E1079" t="str">
        <f>"0164314100920"</f>
        <v>0164314100920</v>
      </c>
      <c r="F1079" t="str">
        <f>"ACCT#8260 16 111 0164314"</f>
        <v>ACCT#8260 16 111 0164314</v>
      </c>
      <c r="G1079" s="1">
        <v>665.79</v>
      </c>
      <c r="H1079" t="str">
        <f>"ACCT#8260 16 111 0164314"</f>
        <v>ACCT#8260 16 111 0164314</v>
      </c>
    </row>
    <row r="1080" spans="1:8" x14ac:dyDescent="0.25">
      <c r="A1080" t="s">
        <v>59</v>
      </c>
      <c r="B1080">
        <v>133400</v>
      </c>
      <c r="C1080" s="1">
        <v>48.75</v>
      </c>
      <c r="D1080" s="3">
        <v>44117</v>
      </c>
      <c r="E1080" t="str">
        <f>"030977"</f>
        <v>030977</v>
      </c>
      <c r="F1080" t="str">
        <f>"CUST#0001725/GEN SVCS"</f>
        <v>CUST#0001725/GEN SVCS</v>
      </c>
      <c r="G1080" s="1">
        <v>48.75</v>
      </c>
      <c r="H1080" t="str">
        <f>"CUST#0001725/GEN SVCS"</f>
        <v>CUST#0001725/GEN SVCS</v>
      </c>
    </row>
    <row r="1081" spans="1:8" x14ac:dyDescent="0.25">
      <c r="A1081" t="s">
        <v>58</v>
      </c>
      <c r="B1081">
        <v>133401</v>
      </c>
      <c r="C1081" s="1">
        <v>732.47</v>
      </c>
      <c r="D1081" s="3">
        <v>44117</v>
      </c>
      <c r="E1081" t="str">
        <f>"200674372 10058755"</f>
        <v>200674372 10058755</v>
      </c>
      <c r="F1081" t="str">
        <f>"Statement"</f>
        <v>Statement</v>
      </c>
      <c r="G1081" s="1">
        <v>732.47</v>
      </c>
      <c r="H1081" t="str">
        <f>"200674372"</f>
        <v>200674372</v>
      </c>
    </row>
    <row r="1082" spans="1:8" x14ac:dyDescent="0.25">
      <c r="E1082" t="str">
        <f>""</f>
        <v/>
      </c>
      <c r="F1082" t="str">
        <f>""</f>
        <v/>
      </c>
      <c r="H1082" t="str">
        <f>"300656330"</f>
        <v>300656330</v>
      </c>
    </row>
    <row r="1083" spans="1:8" x14ac:dyDescent="0.25">
      <c r="E1083" t="str">
        <f>""</f>
        <v/>
      </c>
      <c r="F1083" t="str">
        <f>""</f>
        <v/>
      </c>
      <c r="H1083" t="str">
        <f>"100587554"</f>
        <v>100587554</v>
      </c>
    </row>
    <row r="1084" spans="1:8" x14ac:dyDescent="0.25">
      <c r="E1084" t="str">
        <f>""</f>
        <v/>
      </c>
      <c r="F1084" t="str">
        <f>""</f>
        <v/>
      </c>
      <c r="H1084" t="str">
        <f>"100654589"</f>
        <v>100654589</v>
      </c>
    </row>
    <row r="1085" spans="1:8" x14ac:dyDescent="0.25">
      <c r="E1085" t="str">
        <f>""</f>
        <v/>
      </c>
      <c r="F1085" t="str">
        <f>""</f>
        <v/>
      </c>
      <c r="H1085" t="str">
        <f>"200411246"</f>
        <v>200411246</v>
      </c>
    </row>
    <row r="1086" spans="1:8" x14ac:dyDescent="0.25">
      <c r="A1086" t="s">
        <v>57</v>
      </c>
      <c r="B1086">
        <v>133545</v>
      </c>
      <c r="C1086" s="1">
        <v>463</v>
      </c>
      <c r="D1086" s="3">
        <v>44130</v>
      </c>
      <c r="E1086" t="str">
        <f>"20-001951"</f>
        <v>20-001951</v>
      </c>
      <c r="F1086" t="str">
        <f>"C-1-MH-20-001951"</f>
        <v>C-1-MH-20-001951</v>
      </c>
      <c r="G1086" s="1">
        <v>463</v>
      </c>
      <c r="H1086" t="str">
        <f>"C-1-MH-20-001951"</f>
        <v>C-1-MH-20-001951</v>
      </c>
    </row>
    <row r="1087" spans="1:8" x14ac:dyDescent="0.25">
      <c r="A1087" t="s">
        <v>56</v>
      </c>
      <c r="B1087">
        <v>133546</v>
      </c>
      <c r="C1087" s="1">
        <v>44400</v>
      </c>
      <c r="D1087" s="3">
        <v>44130</v>
      </c>
      <c r="E1087" t="str">
        <f>"3300003871"</f>
        <v>3300003871</v>
      </c>
      <c r="F1087" t="str">
        <f>"CUST#100733/INV#3300003871"</f>
        <v>CUST#100733/INV#3300003871</v>
      </c>
      <c r="G1087" s="1">
        <v>18300</v>
      </c>
      <c r="H1087" t="str">
        <f>"CUST#100733/INV#3300003871"</f>
        <v>CUST#100733/INV#3300003871</v>
      </c>
    </row>
    <row r="1088" spans="1:8" x14ac:dyDescent="0.25">
      <c r="E1088" t="str">
        <f>"3300003878"</f>
        <v>3300003878</v>
      </c>
      <c r="F1088" t="str">
        <f>"CUST#100009/INV#3300003878"</f>
        <v>CUST#100009/INV#3300003878</v>
      </c>
      <c r="G1088" s="1">
        <v>2900</v>
      </c>
      <c r="H1088" t="str">
        <f>"CUST#100009/INV#3300003878"</f>
        <v>CUST#100009/INV#3300003878</v>
      </c>
    </row>
    <row r="1089" spans="1:8" x14ac:dyDescent="0.25">
      <c r="E1089" t="str">
        <f>"3300003885"</f>
        <v>3300003885</v>
      </c>
      <c r="F1089" t="str">
        <f>"CUST#100010/INV#3300003885"</f>
        <v>CUST#100010/INV#3300003885</v>
      </c>
      <c r="G1089" s="1">
        <v>11600</v>
      </c>
      <c r="H1089" t="str">
        <f>"CUST#100010/INV#3300003885"</f>
        <v>CUST#100010/INV#3300003885</v>
      </c>
    </row>
    <row r="1090" spans="1:8" x14ac:dyDescent="0.25">
      <c r="E1090" t="str">
        <f>"3300003944"</f>
        <v>3300003944</v>
      </c>
      <c r="F1090" t="str">
        <f>"CUST#100011/INV#3300003944"</f>
        <v>CUST#100011/INV#3300003944</v>
      </c>
      <c r="G1090" s="1">
        <v>11600</v>
      </c>
      <c r="H1090" t="str">
        <f>"CUST#100011/INV#3300003944"</f>
        <v>CUST#100011/INV#3300003944</v>
      </c>
    </row>
    <row r="1091" spans="1:8" x14ac:dyDescent="0.25">
      <c r="A1091" t="s">
        <v>55</v>
      </c>
      <c r="B1091">
        <v>3330</v>
      </c>
      <c r="C1091" s="1">
        <v>484.36</v>
      </c>
      <c r="D1091" s="3">
        <v>44118</v>
      </c>
      <c r="E1091" t="str">
        <f>"828412"</f>
        <v>828412</v>
      </c>
      <c r="F1091" t="str">
        <f>"INV 828412"</f>
        <v>INV 828412</v>
      </c>
      <c r="G1091" s="1">
        <v>484.36</v>
      </c>
      <c r="H1091" t="str">
        <f>"INV 828412"</f>
        <v>INV 828412</v>
      </c>
    </row>
    <row r="1092" spans="1:8" x14ac:dyDescent="0.25">
      <c r="A1092" t="s">
        <v>54</v>
      </c>
      <c r="B1092">
        <v>133547</v>
      </c>
      <c r="C1092" s="1">
        <v>22.14</v>
      </c>
      <c r="D1092" s="3">
        <v>44130</v>
      </c>
      <c r="E1092" t="str">
        <f>"202010219737"</f>
        <v>202010219737</v>
      </c>
      <c r="F1092" t="str">
        <f>"INDIGENT HEALTH"</f>
        <v>INDIGENT HEALTH</v>
      </c>
      <c r="G1092" s="1">
        <v>22.14</v>
      </c>
      <c r="H1092" t="str">
        <f>"INDIGENT HEALTH"</f>
        <v>INDIGENT HEALTH</v>
      </c>
    </row>
    <row r="1093" spans="1:8" x14ac:dyDescent="0.25">
      <c r="A1093" t="s">
        <v>53</v>
      </c>
      <c r="B1093">
        <v>3455</v>
      </c>
      <c r="C1093" s="1">
        <v>1000</v>
      </c>
      <c r="D1093" s="3">
        <v>44131</v>
      </c>
      <c r="E1093" t="str">
        <f>"202010149578"</f>
        <v>202010149578</v>
      </c>
      <c r="F1093" t="str">
        <f>"02-0731-3  02-0731-4"</f>
        <v>02-0731-3  02-0731-4</v>
      </c>
      <c r="G1093" s="1">
        <v>600</v>
      </c>
      <c r="H1093" t="str">
        <f>"02-0731-3  02-0731-4"</f>
        <v>02-0731-3  02-0731-4</v>
      </c>
    </row>
    <row r="1094" spans="1:8" x14ac:dyDescent="0.25">
      <c r="E1094" t="str">
        <f>"202010199632"</f>
        <v>202010199632</v>
      </c>
      <c r="F1094" t="str">
        <f>"AC-2020-8122WA"</f>
        <v>AC-2020-8122WA</v>
      </c>
      <c r="G1094" s="1">
        <v>400</v>
      </c>
      <c r="H1094" t="str">
        <f>"AC-2020-8122WA"</f>
        <v>AC-2020-8122WA</v>
      </c>
    </row>
    <row r="1095" spans="1:8" x14ac:dyDescent="0.25">
      <c r="A1095" t="s">
        <v>52</v>
      </c>
      <c r="B1095">
        <v>133548</v>
      </c>
      <c r="C1095" s="1">
        <v>40318.25</v>
      </c>
      <c r="D1095" s="3">
        <v>44130</v>
      </c>
      <c r="E1095" t="str">
        <f>"020-25805"</f>
        <v>020-25805</v>
      </c>
      <c r="F1095" t="str">
        <f>"CUST#42161/ORD#100935"</f>
        <v>CUST#42161/ORD#100935</v>
      </c>
      <c r="G1095" s="1">
        <v>37068.25</v>
      </c>
      <c r="H1095" t="str">
        <f>"CUST#42161/ORD#100935"</f>
        <v>CUST#42161/ORD#100935</v>
      </c>
    </row>
    <row r="1096" spans="1:8" x14ac:dyDescent="0.25">
      <c r="E1096" t="str">
        <f>""</f>
        <v/>
      </c>
      <c r="F1096" t="str">
        <f>""</f>
        <v/>
      </c>
      <c r="H1096" t="str">
        <f>"CUST#42161/ORD#100935"</f>
        <v>CUST#42161/ORD#100935</v>
      </c>
    </row>
    <row r="1097" spans="1:8" x14ac:dyDescent="0.25">
      <c r="E1097" t="str">
        <f>"130-16633"</f>
        <v>130-16633</v>
      </c>
      <c r="F1097" t="str">
        <f>"CUST#42161-9884/ORD#9234"</f>
        <v>CUST#42161-9884/ORD#9234</v>
      </c>
      <c r="G1097" s="1">
        <v>3250</v>
      </c>
      <c r="H1097" t="str">
        <f>"CUST#42161-9884/ORD#9234"</f>
        <v>CUST#42161-9884/ORD#9234</v>
      </c>
    </row>
    <row r="1098" spans="1:8" x14ac:dyDescent="0.25">
      <c r="A1098" t="s">
        <v>51</v>
      </c>
      <c r="B1098">
        <v>3388</v>
      </c>
      <c r="C1098" s="1">
        <v>333.99</v>
      </c>
      <c r="D1098" s="3">
        <v>44131</v>
      </c>
      <c r="E1098" t="str">
        <f>"125098230"</f>
        <v>125098230</v>
      </c>
      <c r="F1098" t="str">
        <f>"INV 125098230"</f>
        <v>INV 125098230</v>
      </c>
      <c r="G1098" s="1">
        <v>60.24</v>
      </c>
      <c r="H1098" t="str">
        <f>"INV 125098230"</f>
        <v>INV 125098230</v>
      </c>
    </row>
    <row r="1099" spans="1:8" x14ac:dyDescent="0.25">
      <c r="E1099" t="str">
        <f>"202010209702"</f>
        <v>202010209702</v>
      </c>
      <c r="F1099" t="str">
        <f>"Bogus Paper"</f>
        <v>Bogus Paper</v>
      </c>
      <c r="G1099" s="1">
        <v>273.75</v>
      </c>
      <c r="H1099" t="str">
        <f>"Bogus Paper"</f>
        <v>Bogus Paper</v>
      </c>
    </row>
    <row r="1100" spans="1:8" x14ac:dyDescent="0.25">
      <c r="E1100" t="str">
        <f>""</f>
        <v/>
      </c>
      <c r="F1100" t="str">
        <f>""</f>
        <v/>
      </c>
      <c r="H1100" t="str">
        <f>"Shipping"</f>
        <v>Shipping</v>
      </c>
    </row>
    <row r="1101" spans="1:8" x14ac:dyDescent="0.25">
      <c r="A1101" t="s">
        <v>50</v>
      </c>
      <c r="B1101">
        <v>3395</v>
      </c>
      <c r="C1101" s="1">
        <v>258.89</v>
      </c>
      <c r="D1101" s="3">
        <v>44131</v>
      </c>
      <c r="E1101" t="str">
        <f>"11210335"</f>
        <v>11210335</v>
      </c>
      <c r="F1101" t="str">
        <f>"ACCT#38049/WINDOWPANE/PCT#4"</f>
        <v>ACCT#38049/WINDOWPANE/PCT#4</v>
      </c>
      <c r="G1101" s="1">
        <v>230.81</v>
      </c>
      <c r="H1101" t="str">
        <f>"ACCT#38049/WINDOWPANE/PCT#4"</f>
        <v>ACCT#38049/WINDOWPANE/PCT#4</v>
      </c>
    </row>
    <row r="1102" spans="1:8" x14ac:dyDescent="0.25">
      <c r="E1102" t="str">
        <f>"11213138"</f>
        <v>11213138</v>
      </c>
      <c r="F1102" t="str">
        <f>"ACCT#38049/PCT#4"</f>
        <v>ACCT#38049/PCT#4</v>
      </c>
      <c r="G1102" s="1">
        <v>28.08</v>
      </c>
      <c r="H1102" t="str">
        <f>"ACCT#38049/PCT#4"</f>
        <v>ACCT#38049/PCT#4</v>
      </c>
    </row>
    <row r="1103" spans="1:8" x14ac:dyDescent="0.25">
      <c r="A1103" t="s">
        <v>49</v>
      </c>
      <c r="B1103">
        <v>3374</v>
      </c>
      <c r="C1103" s="1">
        <v>34.6</v>
      </c>
      <c r="D1103" s="3">
        <v>44118</v>
      </c>
      <c r="E1103" t="str">
        <f>"75060801-00"</f>
        <v>75060801-00</v>
      </c>
      <c r="F1103" t="str">
        <f>"INV 75060801-00"</f>
        <v>INV 75060801-00</v>
      </c>
      <c r="G1103" s="1">
        <v>34.6</v>
      </c>
      <c r="H1103" t="str">
        <f>"INV 75060801-00"</f>
        <v>INV 75060801-00</v>
      </c>
    </row>
    <row r="1104" spans="1:8" x14ac:dyDescent="0.25">
      <c r="A1104" t="s">
        <v>48</v>
      </c>
      <c r="B1104">
        <v>133549</v>
      </c>
      <c r="C1104" s="1">
        <v>1585.68</v>
      </c>
      <c r="D1104" s="3">
        <v>44130</v>
      </c>
      <c r="E1104" t="str">
        <f>"4725*98041*1"</f>
        <v>4725*98041*1</v>
      </c>
      <c r="F1104" t="str">
        <f>"JAIL MEDICAL"</f>
        <v>JAIL MEDICAL</v>
      </c>
      <c r="G1104" s="1">
        <v>1585.68</v>
      </c>
      <c r="H1104" t="str">
        <f>"JAIL MEDICAL"</f>
        <v>JAIL MEDICAL</v>
      </c>
    </row>
    <row r="1105" spans="1:8" x14ac:dyDescent="0.25">
      <c r="A1105" t="s">
        <v>47</v>
      </c>
      <c r="B1105">
        <v>133550</v>
      </c>
      <c r="C1105" s="1">
        <v>90.79</v>
      </c>
      <c r="D1105" s="3">
        <v>44130</v>
      </c>
      <c r="E1105" t="str">
        <f>"4584*77*3"</f>
        <v>4584*77*3</v>
      </c>
      <c r="F1105" t="str">
        <f>"JAIL MEDICAL"</f>
        <v>JAIL MEDICAL</v>
      </c>
      <c r="G1105" s="1">
        <v>90.79</v>
      </c>
      <c r="H1105" t="str">
        <f>"JAIL MEDICAL"</f>
        <v>JAIL MEDICAL</v>
      </c>
    </row>
    <row r="1106" spans="1:8" x14ac:dyDescent="0.25">
      <c r="A1106" t="s">
        <v>46</v>
      </c>
      <c r="B1106">
        <v>133551</v>
      </c>
      <c r="C1106" s="1">
        <v>514.5</v>
      </c>
      <c r="D1106" s="3">
        <v>44130</v>
      </c>
      <c r="E1106" t="str">
        <f>"2944"</f>
        <v>2944</v>
      </c>
      <c r="F1106" t="str">
        <f>"SVC CALL/OXYGEN FILTER/ANIM CT"</f>
        <v>SVC CALL/OXYGEN FILTER/ANIM CT</v>
      </c>
      <c r="G1106" s="1">
        <v>514.5</v>
      </c>
      <c r="H1106" t="str">
        <f>"SVC CALL/OXYGEN FILTER/ANIM CT"</f>
        <v>SVC CALL/OXYGEN FILTER/ANIM CT</v>
      </c>
    </row>
    <row r="1107" spans="1:8" x14ac:dyDescent="0.25">
      <c r="A1107" t="s">
        <v>45</v>
      </c>
      <c r="B1107">
        <v>133552</v>
      </c>
      <c r="C1107" s="1">
        <v>420</v>
      </c>
      <c r="D1107" s="3">
        <v>44130</v>
      </c>
      <c r="E1107" t="str">
        <f>"1419"</f>
        <v>1419</v>
      </c>
      <c r="F1107" t="str">
        <f>"SVC CALL/REPAIR/PCT#4"</f>
        <v>SVC CALL/REPAIR/PCT#4</v>
      </c>
      <c r="G1107" s="1">
        <v>420</v>
      </c>
      <c r="H1107" t="str">
        <f>"SVC CALL/REPAIR/PCT#4"</f>
        <v>SVC CALL/REPAIR/PCT#4</v>
      </c>
    </row>
    <row r="1108" spans="1:8" x14ac:dyDescent="0.25">
      <c r="A1108" t="s">
        <v>44</v>
      </c>
      <c r="B1108">
        <v>133553</v>
      </c>
      <c r="C1108" s="1">
        <v>215.94</v>
      </c>
      <c r="D1108" s="3">
        <v>44130</v>
      </c>
      <c r="E1108" t="str">
        <f>"2011854"</f>
        <v>2011854</v>
      </c>
      <c r="F1108" t="str">
        <f>"ACCT#17460002268003/SEPT 2020"</f>
        <v>ACCT#17460002268003/SEPT 2020</v>
      </c>
      <c r="G1108" s="1">
        <v>215.94</v>
      </c>
      <c r="H1108" t="str">
        <f>"ACCT#17460002268003/SEPT 2020"</f>
        <v>ACCT#17460002268003/SEPT 2020</v>
      </c>
    </row>
    <row r="1109" spans="1:8" x14ac:dyDescent="0.25">
      <c r="A1109" t="s">
        <v>15</v>
      </c>
      <c r="B1109">
        <v>133402</v>
      </c>
      <c r="C1109" s="1">
        <v>35495.46</v>
      </c>
      <c r="D1109" s="3">
        <v>44117</v>
      </c>
      <c r="E1109" t="str">
        <f>"13244"</f>
        <v>13244</v>
      </c>
      <c r="F1109" t="str">
        <f>"VEMACS SUPPORT 10/1-09/30"</f>
        <v>VEMACS SUPPORT 10/1-09/30</v>
      </c>
      <c r="G1109" s="1">
        <v>28215.46</v>
      </c>
      <c r="H1109" t="str">
        <f>"VEMACS SUPPORT 10/1-09/30"</f>
        <v>VEMACS SUPPORT 10/1-09/30</v>
      </c>
    </row>
    <row r="1110" spans="1:8" x14ac:dyDescent="0.25">
      <c r="E1110" t="str">
        <f>"13245"</f>
        <v>13245</v>
      </c>
      <c r="F1110" t="str">
        <f>"VOTESAFE SUPPORT 10/1-09/30"</f>
        <v>VOTESAFE SUPPORT 10/1-09/30</v>
      </c>
      <c r="G1110" s="1">
        <v>3780</v>
      </c>
      <c r="H1110" t="str">
        <f>"VOTESAFE SUPPORT 10/1-09/30"</f>
        <v>VOTESAFE SUPPORT 10/1-09/30</v>
      </c>
    </row>
    <row r="1111" spans="1:8" x14ac:dyDescent="0.25">
      <c r="E1111" t="str">
        <f>"13394"</f>
        <v>13394</v>
      </c>
      <c r="F1111" t="str">
        <f>"MBAP-MAIL BALLOT ACTIVITY PORT"</f>
        <v>MBAP-MAIL BALLOT ACTIVITY PORT</v>
      </c>
      <c r="G1111" s="1">
        <v>3500</v>
      </c>
      <c r="H1111" t="str">
        <f>"MBAP-MAIL BALLOT ACTIVITY PORT"</f>
        <v>MBAP-MAIL BALLOT ACTIVITY PORT</v>
      </c>
    </row>
    <row r="1112" spans="1:8" x14ac:dyDescent="0.25">
      <c r="A1112" t="s">
        <v>15</v>
      </c>
      <c r="B1112">
        <v>133554</v>
      </c>
      <c r="C1112" s="1">
        <v>3007.72</v>
      </c>
      <c r="D1112" s="3">
        <v>44130</v>
      </c>
      <c r="E1112" t="str">
        <f>"13406"</f>
        <v>13406</v>
      </c>
      <c r="F1112" t="str">
        <f>"VOTER KIOSK/SCANNER/SHIPPING"</f>
        <v>VOTER KIOSK/SCANNER/SHIPPING</v>
      </c>
      <c r="G1112" s="1">
        <v>3007.72</v>
      </c>
      <c r="H1112" t="str">
        <f>"VOTER KIOSK/SCANNER/SHIPPING"</f>
        <v>VOTER KIOSK/SCANNER/SHIPPING</v>
      </c>
    </row>
    <row r="1113" spans="1:8" x14ac:dyDescent="0.25">
      <c r="A1113" t="s">
        <v>43</v>
      </c>
      <c r="B1113">
        <v>133403</v>
      </c>
      <c r="C1113" s="1">
        <v>36994.879999999997</v>
      </c>
      <c r="D1113" s="3">
        <v>44117</v>
      </c>
      <c r="E1113" t="str">
        <f>"202010079502"</f>
        <v>202010079502</v>
      </c>
      <c r="F1113" t="str">
        <f>"Statement"</f>
        <v>Statement</v>
      </c>
      <c r="G1113" s="1">
        <v>36994.879999999997</v>
      </c>
      <c r="H1113" t="str">
        <f>"rebate adjustments"</f>
        <v>rebate adjustments</v>
      </c>
    </row>
    <row r="1114" spans="1:8" x14ac:dyDescent="0.25">
      <c r="E1114" t="str">
        <f>""</f>
        <v/>
      </c>
      <c r="F1114" t="str">
        <f>""</f>
        <v/>
      </c>
      <c r="H1114" t="str">
        <f>"fuel"</f>
        <v>fuel</v>
      </c>
    </row>
    <row r="1115" spans="1:8" x14ac:dyDescent="0.25">
      <c r="E1115" t="str">
        <f>""</f>
        <v/>
      </c>
      <c r="F1115" t="str">
        <f>""</f>
        <v/>
      </c>
      <c r="H1115" t="str">
        <f>"tax"</f>
        <v>tax</v>
      </c>
    </row>
    <row r="1116" spans="1:8" x14ac:dyDescent="0.25">
      <c r="E1116" t="str">
        <f>""</f>
        <v/>
      </c>
      <c r="F1116" t="str">
        <f>""</f>
        <v/>
      </c>
      <c r="H1116" t="str">
        <f>"fuel"</f>
        <v>fuel</v>
      </c>
    </row>
    <row r="1117" spans="1:8" x14ac:dyDescent="0.25">
      <c r="E1117" t="str">
        <f>""</f>
        <v/>
      </c>
      <c r="F1117" t="str">
        <f>""</f>
        <v/>
      </c>
      <c r="H1117" t="str">
        <f>"tax"</f>
        <v>tax</v>
      </c>
    </row>
    <row r="1118" spans="1:8" x14ac:dyDescent="0.25">
      <c r="E1118" t="str">
        <f>""</f>
        <v/>
      </c>
      <c r="F1118" t="str">
        <f>""</f>
        <v/>
      </c>
      <c r="H1118" t="str">
        <f>"maintenance"</f>
        <v>maintenance</v>
      </c>
    </row>
    <row r="1119" spans="1:8" x14ac:dyDescent="0.25">
      <c r="E1119" t="str">
        <f>""</f>
        <v/>
      </c>
      <c r="F1119" t="str">
        <f>""</f>
        <v/>
      </c>
      <c r="H1119" t="str">
        <f>"fuel"</f>
        <v>fuel</v>
      </c>
    </row>
    <row r="1120" spans="1:8" x14ac:dyDescent="0.25">
      <c r="E1120" t="str">
        <f>""</f>
        <v/>
      </c>
      <c r="F1120" t="str">
        <f>""</f>
        <v/>
      </c>
      <c r="H1120" t="str">
        <f>"tax"</f>
        <v>tax</v>
      </c>
    </row>
    <row r="1121" spans="5:8" x14ac:dyDescent="0.25">
      <c r="E1121" t="str">
        <f>""</f>
        <v/>
      </c>
      <c r="F1121" t="str">
        <f>""</f>
        <v/>
      </c>
      <c r="H1121" t="str">
        <f>"maintenance"</f>
        <v>maintenance</v>
      </c>
    </row>
    <row r="1122" spans="5:8" x14ac:dyDescent="0.25">
      <c r="E1122" t="str">
        <f>""</f>
        <v/>
      </c>
      <c r="F1122" t="str">
        <f>""</f>
        <v/>
      </c>
      <c r="H1122" t="str">
        <f>"fuel"</f>
        <v>fuel</v>
      </c>
    </row>
    <row r="1123" spans="5:8" x14ac:dyDescent="0.25">
      <c r="E1123" t="str">
        <f>""</f>
        <v/>
      </c>
      <c r="F1123" t="str">
        <f>""</f>
        <v/>
      </c>
      <c r="H1123" t="str">
        <f>"tax"</f>
        <v>tax</v>
      </c>
    </row>
    <row r="1124" spans="5:8" x14ac:dyDescent="0.25">
      <c r="E1124" t="str">
        <f>""</f>
        <v/>
      </c>
      <c r="F1124" t="str">
        <f>""</f>
        <v/>
      </c>
      <c r="H1124" t="str">
        <f>"maintenance"</f>
        <v>maintenance</v>
      </c>
    </row>
    <row r="1125" spans="5:8" x14ac:dyDescent="0.25">
      <c r="E1125" t="str">
        <f>""</f>
        <v/>
      </c>
      <c r="F1125" t="str">
        <f>""</f>
        <v/>
      </c>
      <c r="H1125" t="str">
        <f>"fuel"</f>
        <v>fuel</v>
      </c>
    </row>
    <row r="1126" spans="5:8" x14ac:dyDescent="0.25">
      <c r="E1126" t="str">
        <f>""</f>
        <v/>
      </c>
      <c r="F1126" t="str">
        <f>""</f>
        <v/>
      </c>
      <c r="H1126" t="str">
        <f>"tax"</f>
        <v>tax</v>
      </c>
    </row>
    <row r="1127" spans="5:8" x14ac:dyDescent="0.25">
      <c r="E1127" t="str">
        <f>""</f>
        <v/>
      </c>
      <c r="F1127" t="str">
        <f>""</f>
        <v/>
      </c>
      <c r="H1127" t="str">
        <f>"maintenance"</f>
        <v>maintenance</v>
      </c>
    </row>
    <row r="1128" spans="5:8" x14ac:dyDescent="0.25">
      <c r="E1128" t="str">
        <f>""</f>
        <v/>
      </c>
      <c r="F1128" t="str">
        <f>""</f>
        <v/>
      </c>
      <c r="H1128" t="str">
        <f>"fuel"</f>
        <v>fuel</v>
      </c>
    </row>
    <row r="1129" spans="5:8" x14ac:dyDescent="0.25">
      <c r="E1129" t="str">
        <f>""</f>
        <v/>
      </c>
      <c r="F1129" t="str">
        <f>""</f>
        <v/>
      </c>
      <c r="H1129" t="str">
        <f>"tax"</f>
        <v>tax</v>
      </c>
    </row>
    <row r="1130" spans="5:8" x14ac:dyDescent="0.25">
      <c r="E1130" t="str">
        <f>""</f>
        <v/>
      </c>
      <c r="F1130" t="str">
        <f>""</f>
        <v/>
      </c>
      <c r="H1130" t="str">
        <f>"maintenance"</f>
        <v>maintenance</v>
      </c>
    </row>
    <row r="1131" spans="5:8" x14ac:dyDescent="0.25">
      <c r="E1131" t="str">
        <f>""</f>
        <v/>
      </c>
      <c r="F1131" t="str">
        <f>""</f>
        <v/>
      </c>
      <c r="H1131" t="str">
        <f>"fuel"</f>
        <v>fuel</v>
      </c>
    </row>
    <row r="1132" spans="5:8" x14ac:dyDescent="0.25">
      <c r="E1132" t="str">
        <f>""</f>
        <v/>
      </c>
      <c r="F1132" t="str">
        <f>""</f>
        <v/>
      </c>
      <c r="H1132" t="str">
        <f>"tax"</f>
        <v>tax</v>
      </c>
    </row>
    <row r="1133" spans="5:8" x14ac:dyDescent="0.25">
      <c r="E1133" t="str">
        <f>""</f>
        <v/>
      </c>
      <c r="F1133" t="str">
        <f>""</f>
        <v/>
      </c>
      <c r="H1133" t="str">
        <f>"maintenance"</f>
        <v>maintenance</v>
      </c>
    </row>
    <row r="1134" spans="5:8" x14ac:dyDescent="0.25">
      <c r="E1134" t="str">
        <f>""</f>
        <v/>
      </c>
      <c r="F1134" t="str">
        <f>""</f>
        <v/>
      </c>
      <c r="H1134" t="str">
        <f>"fuel"</f>
        <v>fuel</v>
      </c>
    </row>
    <row r="1135" spans="5:8" x14ac:dyDescent="0.25">
      <c r="E1135" t="str">
        <f>""</f>
        <v/>
      </c>
      <c r="F1135" t="str">
        <f>""</f>
        <v/>
      </c>
      <c r="H1135" t="str">
        <f>"tax"</f>
        <v>tax</v>
      </c>
    </row>
    <row r="1136" spans="5:8" x14ac:dyDescent="0.25">
      <c r="E1136" t="str">
        <f>""</f>
        <v/>
      </c>
      <c r="F1136" t="str">
        <f>""</f>
        <v/>
      </c>
      <c r="H1136" t="str">
        <f>"fuel"</f>
        <v>fuel</v>
      </c>
    </row>
    <row r="1137" spans="1:8" x14ac:dyDescent="0.25">
      <c r="E1137" t="str">
        <f>""</f>
        <v/>
      </c>
      <c r="F1137" t="str">
        <f>""</f>
        <v/>
      </c>
      <c r="H1137" t="str">
        <f>"tax"</f>
        <v>tax</v>
      </c>
    </row>
    <row r="1138" spans="1:8" x14ac:dyDescent="0.25">
      <c r="E1138" t="str">
        <f>""</f>
        <v/>
      </c>
      <c r="F1138" t="str">
        <f>""</f>
        <v/>
      </c>
      <c r="H1138" t="str">
        <f>"maintenance"</f>
        <v>maintenance</v>
      </c>
    </row>
    <row r="1139" spans="1:8" x14ac:dyDescent="0.25">
      <c r="E1139" t="str">
        <f>""</f>
        <v/>
      </c>
      <c r="F1139" t="str">
        <f>""</f>
        <v/>
      </c>
      <c r="H1139" t="str">
        <f>"maintenance"</f>
        <v>maintenance</v>
      </c>
    </row>
    <row r="1140" spans="1:8" x14ac:dyDescent="0.25">
      <c r="E1140" t="str">
        <f>""</f>
        <v/>
      </c>
      <c r="F1140" t="str">
        <f>""</f>
        <v/>
      </c>
      <c r="H1140" t="str">
        <f>"fuel"</f>
        <v>fuel</v>
      </c>
    </row>
    <row r="1141" spans="1:8" x14ac:dyDescent="0.25">
      <c r="E1141" t="str">
        <f>""</f>
        <v/>
      </c>
      <c r="F1141" t="str">
        <f>""</f>
        <v/>
      </c>
      <c r="H1141" t="str">
        <f>"tax"</f>
        <v>tax</v>
      </c>
    </row>
    <row r="1142" spans="1:8" x14ac:dyDescent="0.25">
      <c r="A1142" t="s">
        <v>42</v>
      </c>
      <c r="B1142">
        <v>133404</v>
      </c>
      <c r="C1142" s="1">
        <v>90</v>
      </c>
      <c r="D1142" s="3">
        <v>44117</v>
      </c>
      <c r="E1142" t="str">
        <f>"10352327"</f>
        <v>10352327</v>
      </c>
      <c r="F1142" t="str">
        <f>"ACCT#00010699-4/PCT#3"</f>
        <v>ACCT#00010699-4/PCT#3</v>
      </c>
      <c r="G1142" s="1">
        <v>90</v>
      </c>
      <c r="H1142" t="str">
        <f>"ACCT#00010699-4/PCT#3"</f>
        <v>ACCT#00010699-4/PCT#3</v>
      </c>
    </row>
    <row r="1143" spans="1:8" x14ac:dyDescent="0.25">
      <c r="A1143" t="s">
        <v>41</v>
      </c>
      <c r="B1143">
        <v>3457</v>
      </c>
      <c r="C1143" s="1">
        <v>2656</v>
      </c>
      <c r="D1143" s="3">
        <v>44131</v>
      </c>
      <c r="E1143" t="str">
        <f>"202010209707"</f>
        <v>202010209707</v>
      </c>
      <c r="F1143" t="str">
        <f>"U-Channel Posts"</f>
        <v>U-Channel Posts</v>
      </c>
      <c r="G1143" s="1">
        <v>2656</v>
      </c>
      <c r="H1143" t="str">
        <f>"Green U-Channel"</f>
        <v>Green U-Channel</v>
      </c>
    </row>
    <row r="1144" spans="1:8" x14ac:dyDescent="0.25">
      <c r="A1144" t="s">
        <v>40</v>
      </c>
      <c r="B1144">
        <v>3332</v>
      </c>
      <c r="C1144" s="1">
        <v>4822.33</v>
      </c>
      <c r="D1144" s="3">
        <v>44118</v>
      </c>
      <c r="E1144" t="str">
        <f>"19524"</f>
        <v>19524</v>
      </c>
      <c r="F1144" t="str">
        <f>"COLD MIX/FREIGHT"</f>
        <v>COLD MIX/FREIGHT</v>
      </c>
      <c r="G1144" s="1">
        <v>2810.87</v>
      </c>
      <c r="H1144" t="str">
        <f>"COLD MIX/FREIGHT"</f>
        <v>COLD MIX/FREIGHT</v>
      </c>
    </row>
    <row r="1145" spans="1:8" x14ac:dyDescent="0.25">
      <c r="E1145" t="str">
        <f>"19587"</f>
        <v>19587</v>
      </c>
      <c r="F1145" t="str">
        <f>"COLD MIX/PCT#1"</f>
        <v>COLD MIX/PCT#1</v>
      </c>
      <c r="G1145" s="1">
        <v>2011.46</v>
      </c>
      <c r="H1145" t="str">
        <f>"COLD MIX/PCT#1"</f>
        <v>COLD MIX/PCT#1</v>
      </c>
    </row>
    <row r="1146" spans="1:8" x14ac:dyDescent="0.25">
      <c r="A1146" t="s">
        <v>40</v>
      </c>
      <c r="B1146">
        <v>3402</v>
      </c>
      <c r="C1146" s="1">
        <v>2434.3200000000002</v>
      </c>
      <c r="D1146" s="3">
        <v>44131</v>
      </c>
      <c r="E1146" t="str">
        <f>"19645"</f>
        <v>19645</v>
      </c>
      <c r="F1146" t="str">
        <f>"COLD MIX/FREIGHT/PCT#4"</f>
        <v>COLD MIX/FREIGHT/PCT#4</v>
      </c>
      <c r="G1146" s="1">
        <v>2434.3200000000002</v>
      </c>
      <c r="H1146" t="str">
        <f>"COLD MIX/FREIGHT/PCT#4"</f>
        <v>COLD MIX/FREIGHT/PCT#4</v>
      </c>
    </row>
    <row r="1147" spans="1:8" x14ac:dyDescent="0.25">
      <c r="A1147" t="s">
        <v>39</v>
      </c>
      <c r="B1147">
        <v>133421</v>
      </c>
      <c r="C1147" s="1">
        <v>1360.45</v>
      </c>
      <c r="D1147" s="3">
        <v>44118</v>
      </c>
      <c r="E1147" t="str">
        <f>"10758616"</f>
        <v>10758616</v>
      </c>
      <c r="F1147" t="str">
        <f>"ACCT#5150-005117630/10012020"</f>
        <v>ACCT#5150-005117630/10012020</v>
      </c>
      <c r="G1147" s="1">
        <v>262.81</v>
      </c>
      <c r="H1147" t="str">
        <f>"ACCT#5150-005117630/10012020"</f>
        <v>ACCT#5150-005117630/10012020</v>
      </c>
    </row>
    <row r="1148" spans="1:8" x14ac:dyDescent="0.25">
      <c r="E1148" t="str">
        <f>"10758623"</f>
        <v>10758623</v>
      </c>
      <c r="F1148" t="str">
        <f>"ACCT#5150-005117766/10012020"</f>
        <v>ACCT#5150-005117766/10012020</v>
      </c>
      <c r="G1148" s="1">
        <v>115.36</v>
      </c>
      <c r="H1148" t="str">
        <f>"ACCT#5150-005117766/10012020"</f>
        <v>ACCT#5150-005117766/10012020</v>
      </c>
    </row>
    <row r="1149" spans="1:8" x14ac:dyDescent="0.25">
      <c r="E1149" t="str">
        <f>"10758627"</f>
        <v>10758627</v>
      </c>
      <c r="F1149" t="str">
        <f>"ACCT#5150-005117838/10012020"</f>
        <v>ACCT#5150-005117838/10012020</v>
      </c>
      <c r="G1149" s="1">
        <v>106.76</v>
      </c>
      <c r="H1149" t="str">
        <f>"ACCT#5150-005117838/10012020"</f>
        <v>ACCT#5150-005117838/10012020</v>
      </c>
    </row>
    <row r="1150" spans="1:8" x14ac:dyDescent="0.25">
      <c r="E1150" t="str">
        <f>"10758629"</f>
        <v>10758629</v>
      </c>
      <c r="F1150" t="str">
        <f>"ACCT#5150-005117882/10012020"</f>
        <v>ACCT#5150-005117882/10012020</v>
      </c>
      <c r="G1150" s="1">
        <v>144.19</v>
      </c>
      <c r="H1150" t="str">
        <f>"ACCT#5150-005117882/10012020"</f>
        <v>ACCT#5150-005117882/10012020</v>
      </c>
    </row>
    <row r="1151" spans="1:8" x14ac:dyDescent="0.25">
      <c r="E1151" t="str">
        <f>"10758637"</f>
        <v>10758637</v>
      </c>
      <c r="F1151" t="str">
        <f>"ACCT#5150-005118183/10012020"</f>
        <v>ACCT#5150-005118183/10012020</v>
      </c>
      <c r="G1151" s="1">
        <v>618.96</v>
      </c>
      <c r="H1151" t="str">
        <f>"ACCT#5150-005118183/10012020"</f>
        <v>ACCT#5150-005118183/10012020</v>
      </c>
    </row>
    <row r="1152" spans="1:8" x14ac:dyDescent="0.25">
      <c r="E1152" t="str">
        <f>"10762888"</f>
        <v>10762888</v>
      </c>
      <c r="F1152" t="str">
        <f>"ACCT#5150-16203415/10012020"</f>
        <v>ACCT#5150-16203415/10012020</v>
      </c>
      <c r="G1152" s="1">
        <v>83.48</v>
      </c>
      <c r="H1152" t="str">
        <f>"ACCT#5150-16203415/10012020"</f>
        <v>ACCT#5150-16203415/10012020</v>
      </c>
    </row>
    <row r="1153" spans="1:8" x14ac:dyDescent="0.25">
      <c r="E1153" t="str">
        <f>"10762889"</f>
        <v>10762889</v>
      </c>
      <c r="F1153" t="str">
        <f>"ACCT#5150-16203417/10012020"</f>
        <v>ACCT#5150-16203417/10012020</v>
      </c>
      <c r="G1153" s="1">
        <v>28.89</v>
      </c>
      <c r="H1153" t="str">
        <f>"ACCT#5150-16203417/10012020"</f>
        <v>ACCT#5150-16203417/10012020</v>
      </c>
    </row>
    <row r="1154" spans="1:8" x14ac:dyDescent="0.25">
      <c r="A1154" t="s">
        <v>38</v>
      </c>
      <c r="B1154">
        <v>133405</v>
      </c>
      <c r="C1154" s="1">
        <v>7218.66</v>
      </c>
      <c r="D1154" s="3">
        <v>44117</v>
      </c>
      <c r="E1154" t="str">
        <f>"0029042-2161-7"</f>
        <v>0029042-2161-7</v>
      </c>
      <c r="F1154" t="str">
        <f>"CUST ID:2-57060-55062/RD&amp;BR/P4"</f>
        <v>CUST ID:2-57060-55062/RD&amp;BR/P4</v>
      </c>
      <c r="G1154" s="1">
        <v>5389.15</v>
      </c>
      <c r="H1154" t="str">
        <f>"CUST ID:2-57060-55062/RD&amp;BR/P4"</f>
        <v>CUST ID:2-57060-55062/RD&amp;BR/P4</v>
      </c>
    </row>
    <row r="1155" spans="1:8" x14ac:dyDescent="0.25">
      <c r="E1155" t="str">
        <f>"0041525-2162-3"</f>
        <v>0041525-2162-3</v>
      </c>
      <c r="F1155" t="str">
        <f>"CUST ID:16-27603-83003/ANIMAL"</f>
        <v>CUST ID:16-27603-83003/ANIMAL</v>
      </c>
      <c r="G1155" s="1">
        <v>231.61</v>
      </c>
      <c r="H1155" t="str">
        <f>"CUST ID:16-27603-83003/ANIMAL"</f>
        <v>CUST ID:16-27603-83003/ANIMAL</v>
      </c>
    </row>
    <row r="1156" spans="1:8" x14ac:dyDescent="0.25">
      <c r="E1156" t="str">
        <f>"0096408-2161-8"</f>
        <v>0096408-2161-8</v>
      </c>
      <c r="F1156" t="str">
        <f>"CUST ID:2-56581-95066/ANIMAL C"</f>
        <v>CUST ID:2-56581-95066/ANIMAL C</v>
      </c>
      <c r="G1156" s="1">
        <v>434.39</v>
      </c>
      <c r="H1156" t="str">
        <f>"CUST ID:2-56581-95066/ANIMAL C"</f>
        <v>CUST ID:2-56581-95066/ANIMAL C</v>
      </c>
    </row>
    <row r="1157" spans="1:8" x14ac:dyDescent="0.25">
      <c r="E1157" t="str">
        <f>"6705002-2161-9"</f>
        <v>6705002-2161-9</v>
      </c>
      <c r="F1157" t="str">
        <f>"CUSTID:23-90244-23005/RD&amp;BR/P4"</f>
        <v>CUSTID:23-90244-23005/RD&amp;BR/P4</v>
      </c>
      <c r="G1157" s="1">
        <v>1163.51</v>
      </c>
      <c r="H1157" t="str">
        <f>"CUSTID:23-90244-23005/RD&amp;BR/P4"</f>
        <v>CUSTID:23-90244-23005/RD&amp;BR/P4</v>
      </c>
    </row>
    <row r="1158" spans="1:8" x14ac:dyDescent="0.25">
      <c r="A1158" t="s">
        <v>37</v>
      </c>
      <c r="B1158">
        <v>133406</v>
      </c>
      <c r="C1158" s="1">
        <v>77.819999999999993</v>
      </c>
      <c r="D1158" s="3">
        <v>44117</v>
      </c>
      <c r="E1158" t="str">
        <f>"202010069481"</f>
        <v>202010069481</v>
      </c>
      <c r="F1158" t="str">
        <f>"REIMBURSEMENT"</f>
        <v>REIMBURSEMENT</v>
      </c>
      <c r="G1158" s="1">
        <v>77.819999999999993</v>
      </c>
      <c r="H1158" t="str">
        <f>"REIMBURSEMENT"</f>
        <v>REIMBURSEMENT</v>
      </c>
    </row>
    <row r="1159" spans="1:8" x14ac:dyDescent="0.25">
      <c r="A1159" t="s">
        <v>37</v>
      </c>
      <c r="B1159">
        <v>133555</v>
      </c>
      <c r="C1159" s="1">
        <v>4189.5</v>
      </c>
      <c r="D1159" s="3">
        <v>44130</v>
      </c>
      <c r="E1159" t="str">
        <f>"202010209653"</f>
        <v>202010209653</v>
      </c>
      <c r="F1159" t="str">
        <f>"REIMBURSE MED MALPRACTICE INS"</f>
        <v>REIMBURSE MED MALPRACTICE INS</v>
      </c>
      <c r="G1159" s="1">
        <v>4189.5</v>
      </c>
      <c r="H1159" t="str">
        <f>"REIMBURSE MED MALPRACTICE INS"</f>
        <v>REIMBURSE MED MALPRACTICE INS</v>
      </c>
    </row>
    <row r="1160" spans="1:8" x14ac:dyDescent="0.25">
      <c r="A1160" t="s">
        <v>36</v>
      </c>
      <c r="B1160">
        <v>133407</v>
      </c>
      <c r="C1160" s="1">
        <v>239.44</v>
      </c>
      <c r="D1160" s="3">
        <v>44117</v>
      </c>
      <c r="E1160" t="str">
        <f>"20073"</f>
        <v>20073</v>
      </c>
      <c r="F1160" t="str">
        <f>"INTERPRETATION SVCS/MILEAGE"</f>
        <v>INTERPRETATION SVCS/MILEAGE</v>
      </c>
      <c r="G1160" s="1">
        <v>239.44</v>
      </c>
      <c r="H1160" t="str">
        <f>"INTERPRETATION SVCS/MILEAGE"</f>
        <v>INTERPRETATION SVCS/MILEAGE</v>
      </c>
    </row>
    <row r="1161" spans="1:8" x14ac:dyDescent="0.25">
      <c r="A1161" t="s">
        <v>35</v>
      </c>
      <c r="B1161">
        <v>3405</v>
      </c>
      <c r="C1161" s="1">
        <v>9618.25</v>
      </c>
      <c r="D1161" s="3">
        <v>44131</v>
      </c>
      <c r="E1161" t="str">
        <f>"25901"</f>
        <v>25901</v>
      </c>
      <c r="F1161" t="str">
        <f>"INV 25901"</f>
        <v>INV 25901</v>
      </c>
      <c r="G1161" s="1">
        <v>9618.25</v>
      </c>
      <c r="H1161" t="str">
        <f>"INV 25901"</f>
        <v>INV 25901</v>
      </c>
    </row>
    <row r="1162" spans="1:8" x14ac:dyDescent="0.25">
      <c r="A1162" t="s">
        <v>34</v>
      </c>
      <c r="B1162">
        <v>133408</v>
      </c>
      <c r="C1162" s="1">
        <v>326.45</v>
      </c>
      <c r="D1162" s="3">
        <v>44117</v>
      </c>
      <c r="E1162" t="str">
        <f>"0013717"</f>
        <v>0013717</v>
      </c>
      <c r="F1162" t="str">
        <f>"16 905"</f>
        <v>16 905</v>
      </c>
      <c r="G1162" s="1">
        <v>326.45</v>
      </c>
      <c r="H1162" t="str">
        <f>"16 905"</f>
        <v>16 905</v>
      </c>
    </row>
    <row r="1163" spans="1:8" x14ac:dyDescent="0.25">
      <c r="A1163" t="s">
        <v>33</v>
      </c>
      <c r="B1163">
        <v>133409</v>
      </c>
      <c r="C1163" s="1">
        <v>1599.7</v>
      </c>
      <c r="D1163" s="3">
        <v>44117</v>
      </c>
      <c r="E1163" t="str">
        <f>"9011497194"</f>
        <v>9011497194</v>
      </c>
      <c r="F1163" t="str">
        <f>"CUST#1000113183/ANIMAL SVCS"</f>
        <v>CUST#1000113183/ANIMAL SVCS</v>
      </c>
      <c r="G1163" s="1">
        <v>222</v>
      </c>
      <c r="H1163" t="str">
        <f>"CUST#1000113183/ANIMAL SVCS"</f>
        <v>CUST#1000113183/ANIMAL SVCS</v>
      </c>
    </row>
    <row r="1164" spans="1:8" x14ac:dyDescent="0.25">
      <c r="E1164" t="str">
        <f>"9011508890"</f>
        <v>9011508890</v>
      </c>
      <c r="F1164" t="str">
        <f>"CUST#1000113183/ANIMAL SHELTER"</f>
        <v>CUST#1000113183/ANIMAL SHELTER</v>
      </c>
      <c r="G1164" s="1">
        <v>507.2</v>
      </c>
      <c r="H1164" t="str">
        <f>"CUST#1000113183/ANIMAL SHELTER"</f>
        <v>CUST#1000113183/ANIMAL SHELTER</v>
      </c>
    </row>
    <row r="1165" spans="1:8" x14ac:dyDescent="0.25">
      <c r="E1165" t="str">
        <f>"9011581832"</f>
        <v>9011581832</v>
      </c>
      <c r="F1165" t="str">
        <f>"CUST#1000113183/ANIMAL SVCS"</f>
        <v>CUST#1000113183/ANIMAL SVCS</v>
      </c>
      <c r="G1165" s="1">
        <v>273</v>
      </c>
      <c r="H1165" t="str">
        <f>"CUST#1000113183/ANIMAL SVCS"</f>
        <v>CUST#1000113183/ANIMAL SVCS</v>
      </c>
    </row>
    <row r="1166" spans="1:8" x14ac:dyDescent="0.25">
      <c r="E1166" t="str">
        <f>"9011581861"</f>
        <v>9011581861</v>
      </c>
      <c r="F1166" t="str">
        <f>"CUST#1000113183/ANIMAL SVCS"</f>
        <v>CUST#1000113183/ANIMAL SVCS</v>
      </c>
      <c r="G1166" s="1">
        <v>597.5</v>
      </c>
      <c r="H1166" t="str">
        <f>"CUST#1000113183/ANIMAL SVCS"</f>
        <v>CUST#1000113183/ANIMAL SVCS</v>
      </c>
    </row>
    <row r="1167" spans="1:8" x14ac:dyDescent="0.25">
      <c r="A1167" t="s">
        <v>33</v>
      </c>
      <c r="B1167">
        <v>133556</v>
      </c>
      <c r="C1167" s="1">
        <v>969.2</v>
      </c>
      <c r="D1167" s="3">
        <v>44130</v>
      </c>
      <c r="E1167" t="str">
        <f>"9011593736"</f>
        <v>9011593736</v>
      </c>
      <c r="F1167" t="str">
        <f>"CUST#1000113183/ORD#1009679264"</f>
        <v>CUST#1000113183/ORD#1009679264</v>
      </c>
      <c r="G1167" s="1">
        <v>969.2</v>
      </c>
      <c r="H1167" t="str">
        <f>"CUST#1000113183/ORD#1009679264"</f>
        <v>CUST#1000113183/ORD#1009679264</v>
      </c>
    </row>
    <row r="1168" spans="1:8" x14ac:dyDescent="0.25">
      <c r="A1168" t="s">
        <v>32</v>
      </c>
      <c r="B1168">
        <v>3380</v>
      </c>
      <c r="C1168" s="1">
        <v>1529.42</v>
      </c>
      <c r="D1168" s="3">
        <v>44118</v>
      </c>
      <c r="E1168" t="str">
        <f>"202010079519"</f>
        <v>202010079519</v>
      </c>
      <c r="F1168" t="str">
        <f>"Order"</f>
        <v>Order</v>
      </c>
      <c r="G1168" s="1">
        <v>1529.42</v>
      </c>
      <c r="H1168" t="str">
        <f>"#1FJK-6DPC-CPYY"</f>
        <v>#1FJK-6DPC-CPYY</v>
      </c>
    </row>
    <row r="1169" spans="1:8" x14ac:dyDescent="0.25">
      <c r="E1169" t="str">
        <f>""</f>
        <v/>
      </c>
      <c r="F1169" t="str">
        <f>""</f>
        <v/>
      </c>
      <c r="H1169" t="str">
        <f>"#1XPJ-H6PJ-633N"</f>
        <v>#1XPJ-H6PJ-633N</v>
      </c>
    </row>
    <row r="1170" spans="1:8" x14ac:dyDescent="0.25">
      <c r="A1170" t="s">
        <v>31</v>
      </c>
      <c r="B1170">
        <v>133410</v>
      </c>
      <c r="C1170" s="1">
        <v>122.99</v>
      </c>
      <c r="D1170" s="3">
        <v>44117</v>
      </c>
      <c r="E1170" t="str">
        <f>"202010069390"</f>
        <v>202010069390</v>
      </c>
      <c r="F1170" t="str">
        <f>"ACCT#015397/JUVENILE BOOT CAMP"</f>
        <v>ACCT#015397/JUVENILE BOOT CAMP</v>
      </c>
      <c r="G1170" s="1">
        <v>122.99</v>
      </c>
      <c r="H1170" t="str">
        <f>"ACCT#015397/JUVENILE BOOT CAMP"</f>
        <v>ACCT#015397/JUVENILE BOOT CAMP</v>
      </c>
    </row>
    <row r="1171" spans="1:8" x14ac:dyDescent="0.25">
      <c r="A1171" t="s">
        <v>30</v>
      </c>
      <c r="B1171">
        <v>133411</v>
      </c>
      <c r="C1171" s="1">
        <v>766.46</v>
      </c>
      <c r="D1171" s="3">
        <v>44117</v>
      </c>
      <c r="E1171" t="str">
        <f>"287290524359X0927A"</f>
        <v>287290524359X0927A</v>
      </c>
      <c r="F1171" t="str">
        <f>"ACCT#287290524359/FAN#58143538"</f>
        <v>ACCT#287290524359/FAN#58143538</v>
      </c>
      <c r="G1171" s="1">
        <v>766.46</v>
      </c>
      <c r="H1171" t="str">
        <f>"ACCT#287290524359/FAN#58143538"</f>
        <v>ACCT#287290524359/FAN#58143538</v>
      </c>
    </row>
    <row r="1172" spans="1:8" x14ac:dyDescent="0.25">
      <c r="A1172" t="s">
        <v>29</v>
      </c>
      <c r="B1172">
        <v>3458</v>
      </c>
      <c r="C1172" s="1">
        <v>5000</v>
      </c>
      <c r="D1172" s="3">
        <v>44131</v>
      </c>
      <c r="E1172" t="str">
        <f>"202010219720"</f>
        <v>202010219720</v>
      </c>
      <c r="F1172" t="str">
        <f>"Wheelchair Ramp"</f>
        <v>Wheelchair Ramp</v>
      </c>
      <c r="G1172" s="1">
        <v>5000</v>
      </c>
      <c r="H1172" t="str">
        <f>"Wheelchair Ramp"</f>
        <v>Wheelchair Ramp</v>
      </c>
    </row>
    <row r="1173" spans="1:8" x14ac:dyDescent="0.25">
      <c r="A1173" t="s">
        <v>28</v>
      </c>
      <c r="B1173">
        <v>3460</v>
      </c>
      <c r="C1173" s="1">
        <v>57.89</v>
      </c>
      <c r="D1173" s="3">
        <v>44131</v>
      </c>
      <c r="E1173" t="str">
        <f>"202010199627"</f>
        <v>202010199627</v>
      </c>
      <c r="F1173" t="str">
        <f>"ACCT#BC01/OFFICE SUPPLIES"</f>
        <v>ACCT#BC01/OFFICE SUPPLIES</v>
      </c>
      <c r="G1173" s="1">
        <v>57.89</v>
      </c>
      <c r="H1173" t="str">
        <f>"ACCT#BC01/OFFICE SUPPLIES"</f>
        <v>ACCT#BC01/OFFICE SUPPLIES</v>
      </c>
    </row>
    <row r="1174" spans="1:8" x14ac:dyDescent="0.25">
      <c r="A1174" t="s">
        <v>27</v>
      </c>
      <c r="B1174">
        <v>133422</v>
      </c>
      <c r="C1174" s="1">
        <v>245.65</v>
      </c>
      <c r="D1174" s="3">
        <v>44118</v>
      </c>
      <c r="E1174" t="str">
        <f>"202010149594"</f>
        <v>202010149594</v>
      </c>
      <c r="F1174" t="str">
        <f>"ACCT#5000057374 / 10052020"</f>
        <v>ACCT#5000057374 / 10052020</v>
      </c>
      <c r="G1174" s="1">
        <v>245.65</v>
      </c>
      <c r="H1174" t="str">
        <f>"ACCT#5000057374 / 10052020"</f>
        <v>ACCT#5000057374 / 10052020</v>
      </c>
    </row>
    <row r="1175" spans="1:8" x14ac:dyDescent="0.25">
      <c r="A1175" t="s">
        <v>26</v>
      </c>
      <c r="B1175">
        <v>3382</v>
      </c>
      <c r="C1175" s="1">
        <v>63.84</v>
      </c>
      <c r="D1175" s="3">
        <v>44118</v>
      </c>
      <c r="E1175" t="str">
        <f>"1586435"</f>
        <v>1586435</v>
      </c>
      <c r="F1175" t="str">
        <f>"Labels"</f>
        <v>Labels</v>
      </c>
      <c r="G1175" s="1">
        <v>63.84</v>
      </c>
      <c r="H1175" t="str">
        <f>"Labels"</f>
        <v>Labels</v>
      </c>
    </row>
    <row r="1176" spans="1:8" x14ac:dyDescent="0.25">
      <c r="A1176" t="s">
        <v>26</v>
      </c>
      <c r="B1176">
        <v>3463</v>
      </c>
      <c r="C1176" s="1">
        <v>126.59</v>
      </c>
      <c r="D1176" s="3">
        <v>44131</v>
      </c>
      <c r="E1176" t="str">
        <f>"2468882 249972"</f>
        <v>2468882 249972</v>
      </c>
      <c r="F1176" t="str">
        <f>"Printer"</f>
        <v>Printer</v>
      </c>
      <c r="G1176" s="1">
        <v>126.59</v>
      </c>
      <c r="H1176" t="str">
        <f>"LabelWriter"</f>
        <v>LabelWriter</v>
      </c>
    </row>
    <row r="1177" spans="1:8" x14ac:dyDescent="0.25">
      <c r="E1177" t="str">
        <f>""</f>
        <v/>
      </c>
      <c r="F1177" t="str">
        <f>""</f>
        <v/>
      </c>
      <c r="H1177" t="str">
        <f>"Barcode Labels"</f>
        <v>Barcode Labels</v>
      </c>
    </row>
    <row r="1178" spans="1:8" x14ac:dyDescent="0.25">
      <c r="A1178" t="s">
        <v>25</v>
      </c>
      <c r="B1178">
        <v>133557</v>
      </c>
      <c r="C1178" s="1">
        <v>177726.95</v>
      </c>
      <c r="D1178" s="3">
        <v>44130</v>
      </c>
      <c r="E1178" t="str">
        <f>"202010159617"</f>
        <v>202010159617</v>
      </c>
      <c r="F1178" t="str">
        <f>"PROJ#20-19073/APP#8"</f>
        <v>PROJ#20-19073/APP#8</v>
      </c>
      <c r="G1178" s="1">
        <v>177726.95</v>
      </c>
      <c r="H1178" t="str">
        <f>"PROJ#20-19073/APP#8"</f>
        <v>PROJ#20-19073/APP#8</v>
      </c>
    </row>
    <row r="1179" spans="1:8" x14ac:dyDescent="0.25">
      <c r="A1179" t="s">
        <v>24</v>
      </c>
      <c r="B1179">
        <v>3464</v>
      </c>
      <c r="C1179" s="1">
        <v>15000</v>
      </c>
      <c r="D1179" s="3">
        <v>44131</v>
      </c>
      <c r="E1179" t="str">
        <f>"202010219721"</f>
        <v>202010219721</v>
      </c>
      <c r="F1179" t="str">
        <f>"DESMAR WALKES  MD  PA"</f>
        <v>DESMAR WALKES  MD  PA</v>
      </c>
      <c r="G1179" s="1">
        <v>15000</v>
      </c>
      <c r="H1179" t="str">
        <f>"Dr. Walkes Medical"</f>
        <v>Dr. Walkes Medical</v>
      </c>
    </row>
    <row r="1180" spans="1:8" x14ac:dyDescent="0.25">
      <c r="A1180" t="s">
        <v>23</v>
      </c>
      <c r="B1180">
        <v>3459</v>
      </c>
      <c r="C1180" s="1">
        <v>2860</v>
      </c>
      <c r="D1180" s="3">
        <v>44131</v>
      </c>
      <c r="E1180" t="str">
        <f>"IN5253"</f>
        <v>IN5253</v>
      </c>
      <c r="F1180" t="str">
        <f>"CleanPen"</f>
        <v>CleanPen</v>
      </c>
      <c r="G1180" s="1">
        <v>2860</v>
      </c>
      <c r="H1180" t="str">
        <f>"CleanPen"</f>
        <v>CleanPen</v>
      </c>
    </row>
    <row r="1181" spans="1:8" x14ac:dyDescent="0.25">
      <c r="E1181" t="str">
        <f>""</f>
        <v/>
      </c>
      <c r="F1181" t="str">
        <f>""</f>
        <v/>
      </c>
      <c r="H1181" t="str">
        <f>"Additional Sponges"</f>
        <v>Additional Sponges</v>
      </c>
    </row>
    <row r="1182" spans="1:8" x14ac:dyDescent="0.25">
      <c r="E1182" t="str">
        <f>""</f>
        <v/>
      </c>
      <c r="F1182" t="str">
        <f>""</f>
        <v/>
      </c>
      <c r="H1182" t="str">
        <f>"Solution"</f>
        <v>Solution</v>
      </c>
    </row>
    <row r="1183" spans="1:8" x14ac:dyDescent="0.25">
      <c r="A1183" t="s">
        <v>22</v>
      </c>
      <c r="B1183">
        <v>3462</v>
      </c>
      <c r="C1183" s="1">
        <v>2213.4</v>
      </c>
      <c r="D1183" s="3">
        <v>44131</v>
      </c>
      <c r="E1183" t="str">
        <f>"202010209656"</f>
        <v>202010209656</v>
      </c>
      <c r="F1183" t="str">
        <f>"Gloves Order"</f>
        <v>Gloves Order</v>
      </c>
      <c r="G1183" s="1">
        <v>2213.4</v>
      </c>
      <c r="H1183" t="str">
        <f>"PVFM"</f>
        <v>PVFM</v>
      </c>
    </row>
    <row r="1184" spans="1:8" x14ac:dyDescent="0.25">
      <c r="E1184" t="str">
        <f>""</f>
        <v/>
      </c>
      <c r="F1184" t="str">
        <f>""</f>
        <v/>
      </c>
      <c r="H1184" t="str">
        <f>"PVFL"</f>
        <v>PVFL</v>
      </c>
    </row>
    <row r="1185" spans="1:8" x14ac:dyDescent="0.25">
      <c r="E1185" t="str">
        <f>""</f>
        <v/>
      </c>
      <c r="F1185" t="str">
        <f>""</f>
        <v/>
      </c>
      <c r="H1185" t="str">
        <f>"PVFXL"</f>
        <v>PVFXL</v>
      </c>
    </row>
    <row r="1186" spans="1:8" x14ac:dyDescent="0.25">
      <c r="A1186" t="s">
        <v>21</v>
      </c>
      <c r="B1186">
        <v>133412</v>
      </c>
      <c r="C1186" s="1">
        <v>125.38</v>
      </c>
      <c r="D1186" s="3">
        <v>44117</v>
      </c>
      <c r="E1186" t="str">
        <f>"3542461 1013446 41"</f>
        <v>3542461 1013446 41</v>
      </c>
      <c r="F1186" t="str">
        <f>"Statement"</f>
        <v>Statement</v>
      </c>
      <c r="G1186" s="1">
        <v>125.38</v>
      </c>
      <c r="H1186" t="str">
        <f>"3542461"</f>
        <v>3542461</v>
      </c>
    </row>
    <row r="1187" spans="1:8" x14ac:dyDescent="0.25">
      <c r="E1187" t="str">
        <f>""</f>
        <v/>
      </c>
      <c r="F1187" t="str">
        <f>""</f>
        <v/>
      </c>
      <c r="H1187" t="str">
        <f>"1013446"</f>
        <v>1013446</v>
      </c>
    </row>
    <row r="1188" spans="1:8" x14ac:dyDescent="0.25">
      <c r="E1188" t="str">
        <f>""</f>
        <v/>
      </c>
      <c r="F1188" t="str">
        <f>""</f>
        <v/>
      </c>
      <c r="H1188" t="str">
        <f>"4104758"</f>
        <v>4104758</v>
      </c>
    </row>
    <row r="1189" spans="1:8" x14ac:dyDescent="0.25">
      <c r="E1189" t="str">
        <f>""</f>
        <v/>
      </c>
      <c r="F1189" t="str">
        <f>""</f>
        <v/>
      </c>
      <c r="H1189" t="str">
        <f>"4104759"</f>
        <v>4104759</v>
      </c>
    </row>
    <row r="1190" spans="1:8" x14ac:dyDescent="0.25">
      <c r="E1190" t="str">
        <f>""</f>
        <v/>
      </c>
      <c r="F1190" t="str">
        <f>""</f>
        <v/>
      </c>
      <c r="H1190" t="str">
        <f>"4104760"</f>
        <v>4104760</v>
      </c>
    </row>
    <row r="1191" spans="1:8" x14ac:dyDescent="0.25">
      <c r="A1191" t="s">
        <v>20</v>
      </c>
      <c r="B1191">
        <v>3381</v>
      </c>
      <c r="C1191" s="1">
        <v>20851.25</v>
      </c>
      <c r="D1191" s="3">
        <v>44118</v>
      </c>
      <c r="E1191" t="str">
        <f>"4082"</f>
        <v>4082</v>
      </c>
      <c r="F1191" t="str">
        <f>"BENEFIT COST ANALYSIS"</f>
        <v>BENEFIT COST ANALYSIS</v>
      </c>
      <c r="G1191" s="1">
        <v>20851.25</v>
      </c>
      <c r="H1191" t="str">
        <f>"BENEFIT COST ANALYSIS"</f>
        <v>BENEFIT COST ANALYSIS</v>
      </c>
    </row>
    <row r="1192" spans="1:8" x14ac:dyDescent="0.25">
      <c r="A1192" t="s">
        <v>20</v>
      </c>
      <c r="B1192">
        <v>3461</v>
      </c>
      <c r="C1192" s="1">
        <v>17917.21</v>
      </c>
      <c r="D1192" s="3">
        <v>44131</v>
      </c>
      <c r="E1192" t="str">
        <f>"3957"</f>
        <v>3957</v>
      </c>
      <c r="F1192" t="str">
        <f>"FMAG ADMIN / FUEL REDUCTION"</f>
        <v>FMAG ADMIN / FUEL REDUCTION</v>
      </c>
      <c r="G1192" s="1">
        <v>3705</v>
      </c>
      <c r="H1192" t="str">
        <f>"FMAG ADMIN / FUEL REDUCTION"</f>
        <v>FMAG ADMIN / FUEL REDUCTION</v>
      </c>
    </row>
    <row r="1193" spans="1:8" x14ac:dyDescent="0.25">
      <c r="E1193" t="str">
        <f>"3965"</f>
        <v>3965</v>
      </c>
      <c r="F1193" t="str">
        <f>"HMPG ADMIN/DRAINAGE IMPROV"</f>
        <v>HMPG ADMIN/DRAINAGE IMPROV</v>
      </c>
      <c r="G1193" s="1">
        <v>4300</v>
      </c>
      <c r="H1193" t="str">
        <f>"HMPG ADMIN/DRAINAGE IMPROV"</f>
        <v>HMPG ADMIN/DRAINAGE IMPROV</v>
      </c>
    </row>
    <row r="1194" spans="1:8" x14ac:dyDescent="0.25">
      <c r="E1194" t="str">
        <f>"3999"</f>
        <v>3999</v>
      </c>
      <c r="F1194" t="str">
        <f>"FMAG ADMIN / FUEL REDUCTION"</f>
        <v>FMAG ADMIN / FUEL REDUCTION</v>
      </c>
      <c r="G1194" s="1">
        <v>1750</v>
      </c>
      <c r="H1194" t="str">
        <f>"FMAG ADMIN / FUEL REDUCTION"</f>
        <v>FMAG ADMIN / FUEL REDUCTION</v>
      </c>
    </row>
    <row r="1195" spans="1:8" x14ac:dyDescent="0.25">
      <c r="E1195" t="str">
        <f>"4006"</f>
        <v>4006</v>
      </c>
      <c r="F1195" t="str">
        <f>"HMPG ADMIN/DRAINAGE IMPROV"</f>
        <v>HMPG ADMIN/DRAINAGE IMPROV</v>
      </c>
      <c r="G1195" s="1">
        <v>2495.88</v>
      </c>
      <c r="H1195" t="str">
        <f>"HMPG ADMIN/DRAINAGE IMPROV"</f>
        <v>HMPG ADMIN/DRAINAGE IMPROV</v>
      </c>
    </row>
    <row r="1196" spans="1:8" x14ac:dyDescent="0.25">
      <c r="E1196" t="str">
        <f>"4073"</f>
        <v>4073</v>
      </c>
      <c r="F1196" t="str">
        <f>"FMAG ADMIN / FUEL REDUCTION"</f>
        <v>FMAG ADMIN / FUEL REDUCTION</v>
      </c>
      <c r="G1196" s="1">
        <v>2325.5</v>
      </c>
      <c r="H1196" t="str">
        <f>"FMAG ADMIN / FUEL REDUCTION"</f>
        <v>FMAG ADMIN / FUEL REDUCTION</v>
      </c>
    </row>
    <row r="1197" spans="1:8" x14ac:dyDescent="0.25">
      <c r="E1197" t="str">
        <f>"4079"</f>
        <v>4079</v>
      </c>
      <c r="F1197" t="str">
        <f>"HMPG ADMIN/DRAINAGE IMPROV"</f>
        <v>HMPG ADMIN/DRAINAGE IMPROV</v>
      </c>
      <c r="G1197" s="1">
        <v>3340.83</v>
      </c>
      <c r="H1197" t="str">
        <f>"HMPG ADMIN/DRAINAGE IMPROV"</f>
        <v>HMPG ADMIN/DRAINAGE IMPROV</v>
      </c>
    </row>
    <row r="1198" spans="1:8" x14ac:dyDescent="0.25">
      <c r="A1198" t="s">
        <v>19</v>
      </c>
      <c r="B1198">
        <v>133413</v>
      </c>
      <c r="C1198" s="1">
        <v>2052.0100000000002</v>
      </c>
      <c r="D1198" s="3">
        <v>44117</v>
      </c>
      <c r="E1198" t="str">
        <f>"202010079501"</f>
        <v>202010079501</v>
      </c>
      <c r="F1198" t="str">
        <f>"COVID Test Kits - BCSO"</f>
        <v>COVID Test Kits - BCSO</v>
      </c>
      <c r="G1198" s="1">
        <v>2052.0100000000002</v>
      </c>
      <c r="H1198" t="str">
        <f>"BD Veritor Analyzer"</f>
        <v>BD Veritor Analyzer</v>
      </c>
    </row>
    <row r="1199" spans="1:8" x14ac:dyDescent="0.25">
      <c r="E1199" t="str">
        <f>""</f>
        <v/>
      </c>
      <c r="F1199" t="str">
        <f>""</f>
        <v/>
      </c>
      <c r="H1199" t="str">
        <f>"COVID Test Kits"</f>
        <v>COVID Test Kits</v>
      </c>
    </row>
    <row r="1200" spans="1:8" x14ac:dyDescent="0.25">
      <c r="A1200" t="s">
        <v>18</v>
      </c>
      <c r="B1200">
        <v>133414</v>
      </c>
      <c r="C1200" s="1">
        <v>37800</v>
      </c>
      <c r="D1200" s="3">
        <v>44117</v>
      </c>
      <c r="E1200" t="str">
        <f>"INV0001"</f>
        <v>INV0001</v>
      </c>
      <c r="F1200" t="str">
        <f>"ELGIN COVID TESTING SITE-AUG"</f>
        <v>ELGIN COVID TESTING SITE-AUG</v>
      </c>
      <c r="G1200" s="1">
        <v>18900</v>
      </c>
      <c r="H1200" t="str">
        <f>"ELGIN COVID TESTING SITE-AUG"</f>
        <v>ELGIN COVID TESTING SITE-AUG</v>
      </c>
    </row>
    <row r="1201" spans="1:8" x14ac:dyDescent="0.25">
      <c r="E1201" t="str">
        <f>"INV0002"</f>
        <v>INV0002</v>
      </c>
      <c r="F1201" t="str">
        <f>"ELGIN COVID TESTING SITE-SEPT"</f>
        <v>ELGIN COVID TESTING SITE-SEPT</v>
      </c>
      <c r="G1201" s="1">
        <v>18900</v>
      </c>
      <c r="H1201" t="str">
        <f>"ELGIN COVID TESTING SITE-SEPT"</f>
        <v>ELGIN COVID TESTING SITE-SEPT</v>
      </c>
    </row>
    <row r="1202" spans="1:8" x14ac:dyDescent="0.25">
      <c r="A1202" t="s">
        <v>17</v>
      </c>
      <c r="B1202">
        <v>133415</v>
      </c>
      <c r="C1202" s="1">
        <v>147.91999999999999</v>
      </c>
      <c r="D1202" s="3">
        <v>44117</v>
      </c>
      <c r="E1202" t="str">
        <f>"09302020"</f>
        <v>09302020</v>
      </c>
      <c r="F1202" t="str">
        <f>"Statement"</f>
        <v>Statement</v>
      </c>
      <c r="G1202" s="1">
        <v>147.91999999999999</v>
      </c>
      <c r="H1202" t="str">
        <f>"3456551926"</f>
        <v>3456551926</v>
      </c>
    </row>
    <row r="1203" spans="1:8" x14ac:dyDescent="0.25">
      <c r="E1203" t="str">
        <f>""</f>
        <v/>
      </c>
      <c r="F1203" t="str">
        <f>""</f>
        <v/>
      </c>
      <c r="H1203" t="str">
        <f>"3456551927"</f>
        <v>3456551927</v>
      </c>
    </row>
    <row r="1204" spans="1:8" x14ac:dyDescent="0.25">
      <c r="E1204" t="str">
        <f>""</f>
        <v/>
      </c>
      <c r="F1204" t="str">
        <f>""</f>
        <v/>
      </c>
      <c r="H1204" t="str">
        <f>"3456551928"</f>
        <v>3456551928</v>
      </c>
    </row>
    <row r="1205" spans="1:8" x14ac:dyDescent="0.25">
      <c r="A1205" t="s">
        <v>16</v>
      </c>
      <c r="B1205">
        <v>133416</v>
      </c>
      <c r="C1205" s="1">
        <v>63.71</v>
      </c>
      <c r="D1205" s="3">
        <v>44117</v>
      </c>
      <c r="E1205" t="str">
        <f>"D-2020-4-0110-245"</f>
        <v>D-2020-4-0110-245</v>
      </c>
      <c r="F1205" t="str">
        <f>"UNEMPLOYMENT QTR END 09/30/20"</f>
        <v>UNEMPLOYMENT QTR END 09/30/20</v>
      </c>
      <c r="G1205" s="1">
        <v>34.72</v>
      </c>
      <c r="H1205" t="str">
        <f>"UNEMPLOYMENT QTR END 09/30/20"</f>
        <v>UNEMPLOYMENT QTR END 09/30/20</v>
      </c>
    </row>
    <row r="1206" spans="1:8" x14ac:dyDescent="0.25">
      <c r="E1206" t="str">
        <f>"DP-2020-2-0110-245"</f>
        <v>DP-2020-2-0110-245</v>
      </c>
      <c r="F1206" t="str">
        <f>"UNEMPLOYMENT DEFICIT 2ND-2020"</f>
        <v>UNEMPLOYMENT DEFICIT 2ND-2020</v>
      </c>
      <c r="G1206" s="1">
        <v>28.99</v>
      </c>
      <c r="H1206" t="str">
        <f>"UNEMPLOYMENT DEFICIT 2ND-2020"</f>
        <v>UNEMPLOYMENT DEFICIT 2ND-2020</v>
      </c>
    </row>
    <row r="1207" spans="1:8" x14ac:dyDescent="0.25">
      <c r="A1207" t="s">
        <v>15</v>
      </c>
      <c r="B1207">
        <v>133558</v>
      </c>
      <c r="C1207" s="1">
        <v>41722.28</v>
      </c>
      <c r="D1207" s="3">
        <v>44130</v>
      </c>
      <c r="E1207" t="str">
        <f>"13354"</f>
        <v>13354</v>
      </c>
      <c r="F1207" t="str">
        <f>"VOTERSHIELD/SHIPPING"</f>
        <v>VOTERSHIELD/SHIPPING</v>
      </c>
      <c r="G1207" s="1">
        <v>14550</v>
      </c>
      <c r="H1207" t="str">
        <f>"VOTERSHIELD/SHIPPING"</f>
        <v>VOTERSHIELD/SHIPPING</v>
      </c>
    </row>
    <row r="1208" spans="1:8" x14ac:dyDescent="0.25">
      <c r="E1208" t="str">
        <f>"13404"</f>
        <v>13404</v>
      </c>
      <c r="F1208" t="str">
        <f>"VOTERSHIELD/ SHIPPING"</f>
        <v>VOTERSHIELD/ SHIPPING</v>
      </c>
      <c r="G1208" s="1">
        <v>1402.5</v>
      </c>
      <c r="H1208" t="str">
        <f>"VOTERSHIELD/ SHIPPING"</f>
        <v>VOTERSHIELD/ SHIPPING</v>
      </c>
    </row>
    <row r="1209" spans="1:8" x14ac:dyDescent="0.25">
      <c r="E1209" t="str">
        <f>"13405"</f>
        <v>13405</v>
      </c>
      <c r="F1209" t="str">
        <f>"VOTERSHIELD BAGS/SHIPPING"</f>
        <v>VOTERSHIELD BAGS/SHIPPING</v>
      </c>
      <c r="G1209" s="1">
        <v>3380.5</v>
      </c>
      <c r="H1209" t="str">
        <f>"VOTERSHIELD BAGS/SHIPPING"</f>
        <v>VOTERSHIELD BAGS/SHIPPING</v>
      </c>
    </row>
    <row r="1210" spans="1:8" x14ac:dyDescent="0.25">
      <c r="E1210" t="str">
        <f>"13406 - APTF"</f>
        <v>13406 - APTF</v>
      </c>
      <c r="F1210" t="str">
        <f>"VOTER KIOSK/SCANNER/SHIPPING"</f>
        <v>VOTER KIOSK/SCANNER/SHIPPING</v>
      </c>
      <c r="G1210" s="1">
        <v>22389.279999999999</v>
      </c>
      <c r="H1210" t="str">
        <f>"VOTER KIOSK/SCANNER/SHIPPING"</f>
        <v>VOTER KIOSK/SCANNER/SHIPPING</v>
      </c>
    </row>
    <row r="1211" spans="1:8" x14ac:dyDescent="0.25">
      <c r="A1211" t="s">
        <v>14</v>
      </c>
      <c r="B1211">
        <v>133559</v>
      </c>
      <c r="C1211" s="1">
        <v>18000</v>
      </c>
      <c r="D1211" s="3">
        <v>44130</v>
      </c>
      <c r="E1211" t="str">
        <f>"4BOINV0006449"</f>
        <v>4BOINV0006449</v>
      </c>
      <c r="F1211" t="str">
        <f>"Video"</f>
        <v>Video</v>
      </c>
      <c r="G1211" s="1">
        <v>18000</v>
      </c>
      <c r="H1211" t="str">
        <f>"BRK-DV1-MIC-100"</f>
        <v>BRK-DV1-MIC-100</v>
      </c>
    </row>
    <row r="1212" spans="1:8" x14ac:dyDescent="0.25">
      <c r="A1212" t="s">
        <v>13</v>
      </c>
      <c r="B1212">
        <v>754</v>
      </c>
      <c r="C1212" s="1">
        <v>4700.7299999999996</v>
      </c>
      <c r="D1212" s="3">
        <v>44131</v>
      </c>
      <c r="E1212" t="str">
        <f>"202010269761"</f>
        <v>202010269761</v>
      </c>
      <c r="F1212" t="str">
        <f>"ROUNDING - OCTOBER 2020"</f>
        <v>ROUNDING - OCTOBER 2020</v>
      </c>
      <c r="G1212" s="1">
        <v>0.03</v>
      </c>
      <c r="H1212" t="str">
        <f>"ROUNDING - OCTOBER 2020"</f>
        <v>ROUNDING - OCTOBER 2020</v>
      </c>
    </row>
    <row r="1213" spans="1:8" x14ac:dyDescent="0.25">
      <c r="E1213" t="str">
        <f>"AS 202009309111"</f>
        <v>AS 202009309111</v>
      </c>
      <c r="F1213" t="str">
        <f>"ALLSTATE"</f>
        <v>ALLSTATE</v>
      </c>
      <c r="G1213" s="1">
        <v>433.66</v>
      </c>
      <c r="H1213" t="str">
        <f>"ALLSTATE"</f>
        <v>ALLSTATE</v>
      </c>
    </row>
    <row r="1214" spans="1:8" x14ac:dyDescent="0.25">
      <c r="E1214" t="str">
        <f>"AS 202009309112"</f>
        <v>AS 202009309112</v>
      </c>
      <c r="F1214" t="str">
        <f>"ALLSTATE"</f>
        <v>ALLSTATE</v>
      </c>
      <c r="G1214" s="1">
        <v>27.14</v>
      </c>
      <c r="H1214" t="str">
        <f>"ALLSTATE"</f>
        <v>ALLSTATE</v>
      </c>
    </row>
    <row r="1215" spans="1:8" x14ac:dyDescent="0.25">
      <c r="E1215" t="str">
        <f>"AS 202010149551"</f>
        <v>AS 202010149551</v>
      </c>
      <c r="F1215" t="str">
        <f>"ALLSTATE"</f>
        <v>ALLSTATE</v>
      </c>
      <c r="G1215" s="1">
        <v>433.66</v>
      </c>
      <c r="H1215" t="str">
        <f>"ALLSTATE"</f>
        <v>ALLSTATE</v>
      </c>
    </row>
    <row r="1216" spans="1:8" x14ac:dyDescent="0.25">
      <c r="E1216" t="str">
        <f>"AS 202010149552"</f>
        <v>AS 202010149552</v>
      </c>
      <c r="F1216" t="str">
        <f>"ALLSTATE"</f>
        <v>ALLSTATE</v>
      </c>
      <c r="G1216" s="1">
        <v>27.14</v>
      </c>
      <c r="H1216" t="str">
        <f>"ALLSTATE"</f>
        <v>ALLSTATE</v>
      </c>
    </row>
    <row r="1217" spans="1:8" x14ac:dyDescent="0.25">
      <c r="E1217" t="str">
        <f>"ASD202009309111"</f>
        <v>ASD202009309111</v>
      </c>
      <c r="F1217" t="str">
        <f>"ALLSTATE"</f>
        <v>ALLSTATE</v>
      </c>
      <c r="G1217" s="1">
        <v>170.21</v>
      </c>
      <c r="H1217" t="str">
        <f>"ALLSTATE"</f>
        <v>ALLSTATE</v>
      </c>
    </row>
    <row r="1218" spans="1:8" x14ac:dyDescent="0.25">
      <c r="E1218" t="str">
        <f>"ASD202010149551"</f>
        <v>ASD202010149551</v>
      </c>
      <c r="F1218" t="str">
        <f>"ALLSTATE"</f>
        <v>ALLSTATE</v>
      </c>
      <c r="G1218" s="1">
        <v>170.21</v>
      </c>
      <c r="H1218" t="str">
        <f>"ALLSTATE"</f>
        <v>ALLSTATE</v>
      </c>
    </row>
    <row r="1219" spans="1:8" x14ac:dyDescent="0.25">
      <c r="E1219" t="str">
        <f>"ASI202009309111"</f>
        <v>ASI202009309111</v>
      </c>
      <c r="F1219" t="str">
        <f>"ALLSTATE"</f>
        <v>ALLSTATE</v>
      </c>
      <c r="G1219" s="1">
        <v>566.87</v>
      </c>
      <c r="H1219" t="str">
        <f>"ALLSTATE"</f>
        <v>ALLSTATE</v>
      </c>
    </row>
    <row r="1220" spans="1:8" x14ac:dyDescent="0.25">
      <c r="E1220" t="str">
        <f>"ASI202009309112"</f>
        <v>ASI202009309112</v>
      </c>
      <c r="F1220" t="str">
        <f>"ALLSTATE"</f>
        <v>ALLSTATE</v>
      </c>
      <c r="G1220" s="1">
        <v>67.150000000000006</v>
      </c>
      <c r="H1220" t="str">
        <f>"ALLSTATE"</f>
        <v>ALLSTATE</v>
      </c>
    </row>
    <row r="1221" spans="1:8" x14ac:dyDescent="0.25">
      <c r="E1221" t="str">
        <f>"ASI202010149551"</f>
        <v>ASI202010149551</v>
      </c>
      <c r="F1221" t="str">
        <f>"ALLSTATE"</f>
        <v>ALLSTATE</v>
      </c>
      <c r="G1221" s="1">
        <v>566.87</v>
      </c>
      <c r="H1221" t="str">
        <f>"ALLSTATE"</f>
        <v>ALLSTATE</v>
      </c>
    </row>
    <row r="1222" spans="1:8" x14ac:dyDescent="0.25">
      <c r="E1222" t="str">
        <f>"ASI202010149552"</f>
        <v>ASI202010149552</v>
      </c>
      <c r="F1222" t="str">
        <f>"ALLSTATE"</f>
        <v>ALLSTATE</v>
      </c>
      <c r="G1222" s="1">
        <v>67.150000000000006</v>
      </c>
      <c r="H1222" t="str">
        <f>"ALLSTATE"</f>
        <v>ALLSTATE</v>
      </c>
    </row>
    <row r="1223" spans="1:8" x14ac:dyDescent="0.25">
      <c r="E1223" t="str">
        <f>"AST202009309111"</f>
        <v>AST202009309111</v>
      </c>
      <c r="F1223" t="str">
        <f>"ALLSTATE"</f>
        <v>ALLSTATE</v>
      </c>
      <c r="G1223" s="1">
        <v>1042.71</v>
      </c>
      <c r="H1223" t="str">
        <f>"ALLSTATE"</f>
        <v>ALLSTATE</v>
      </c>
    </row>
    <row r="1224" spans="1:8" x14ac:dyDescent="0.25">
      <c r="E1224" t="str">
        <f>"AST202009309112"</f>
        <v>AST202009309112</v>
      </c>
      <c r="F1224" t="str">
        <f>"ALLSTATE"</f>
        <v>ALLSTATE</v>
      </c>
      <c r="G1224" s="1">
        <v>53.81</v>
      </c>
      <c r="H1224" t="str">
        <f>"ALLSTATE"</f>
        <v>ALLSTATE</v>
      </c>
    </row>
    <row r="1225" spans="1:8" x14ac:dyDescent="0.25">
      <c r="E1225" t="str">
        <f>"AST202010149551"</f>
        <v>AST202010149551</v>
      </c>
      <c r="F1225" t="str">
        <f>"ALLSTATE"</f>
        <v>ALLSTATE</v>
      </c>
      <c r="G1225" s="1">
        <v>1042.71</v>
      </c>
      <c r="H1225" t="str">
        <f>"ALLSTATE"</f>
        <v>ALLSTATE</v>
      </c>
    </row>
    <row r="1226" spans="1:8" x14ac:dyDescent="0.25">
      <c r="E1226" t="str">
        <f>"AST202010149552"</f>
        <v>AST202010149552</v>
      </c>
      <c r="F1226" t="str">
        <f>"ALLSTATE"</f>
        <v>ALLSTATE</v>
      </c>
      <c r="G1226" s="1">
        <v>31.41</v>
      </c>
      <c r="H1226" t="str">
        <f>"ALLSTATE"</f>
        <v>ALLSTATE</v>
      </c>
    </row>
    <row r="1227" spans="1:8" x14ac:dyDescent="0.25">
      <c r="A1227" t="s">
        <v>12</v>
      </c>
      <c r="B1227">
        <v>750</v>
      </c>
      <c r="C1227" s="1">
        <v>26747.65</v>
      </c>
      <c r="D1227" s="3">
        <v>44131</v>
      </c>
      <c r="E1227" t="str">
        <f>"202010269763"</f>
        <v>202010269763</v>
      </c>
      <c r="F1227" t="str">
        <f>"RETIREE INS - OCTOBER 2020"</f>
        <v>RETIREE INS - OCTOBER 2020</v>
      </c>
      <c r="G1227" s="1">
        <v>26747.65</v>
      </c>
      <c r="H1227" t="str">
        <f>"RETIREE INS - OCTOBER 2020"</f>
        <v>RETIREE INS - OCTOBER 2020</v>
      </c>
    </row>
    <row r="1228" spans="1:8" x14ac:dyDescent="0.25">
      <c r="A1228" t="s">
        <v>11</v>
      </c>
      <c r="B1228">
        <v>727</v>
      </c>
      <c r="C1228" s="1">
        <v>2072.89</v>
      </c>
      <c r="D1228" s="3">
        <v>44106</v>
      </c>
      <c r="E1228" t="str">
        <f>"DHM202009309113"</f>
        <v>DHM202009309113</v>
      </c>
      <c r="F1228" t="str">
        <f>"AP - DENTAL HMO"</f>
        <v>AP - DENTAL HMO</v>
      </c>
      <c r="G1228" s="1">
        <v>45.1</v>
      </c>
      <c r="H1228" t="str">
        <f>"AP - DENTAL HMO"</f>
        <v>AP - DENTAL HMO</v>
      </c>
    </row>
    <row r="1229" spans="1:8" x14ac:dyDescent="0.25">
      <c r="E1229" t="str">
        <f>"DTX202009309113"</f>
        <v>DTX202009309113</v>
      </c>
      <c r="F1229" t="str">
        <f>"AP - TEXAS DENTAL"</f>
        <v>AP - TEXAS DENTAL</v>
      </c>
      <c r="G1229" s="1">
        <v>359.12</v>
      </c>
      <c r="H1229" t="str">
        <f>"AP - TEXAS DENTAL"</f>
        <v>AP - TEXAS DENTAL</v>
      </c>
    </row>
    <row r="1230" spans="1:8" x14ac:dyDescent="0.25">
      <c r="E1230" t="str">
        <f>"FD 202009309113"</f>
        <v>FD 202009309113</v>
      </c>
      <c r="F1230" t="str">
        <f>"AP - FT DEARBORN PRE-TAX"</f>
        <v>AP - FT DEARBORN PRE-TAX</v>
      </c>
      <c r="G1230" s="1">
        <v>97.11</v>
      </c>
      <c r="H1230" t="str">
        <f>"AP - FT DEARBORN PRE-TAX"</f>
        <v>AP - FT DEARBORN PRE-TAX</v>
      </c>
    </row>
    <row r="1231" spans="1:8" x14ac:dyDescent="0.25">
      <c r="E1231" t="str">
        <f>"FDT202009309113"</f>
        <v>FDT202009309113</v>
      </c>
      <c r="F1231" t="str">
        <f>"AP - FT DEARBORN AFTER TAX"</f>
        <v>AP - FT DEARBORN AFTER TAX</v>
      </c>
      <c r="G1231" s="1">
        <v>65.900000000000006</v>
      </c>
      <c r="H1231" t="str">
        <f>"AP - FT DEARBORN AFTER TAX"</f>
        <v>AP - FT DEARBORN AFTER TAX</v>
      </c>
    </row>
    <row r="1232" spans="1:8" x14ac:dyDescent="0.25">
      <c r="E1232" t="str">
        <f>"FLX202009309113"</f>
        <v>FLX202009309113</v>
      </c>
      <c r="F1232" t="str">
        <f>"AP - TEX FLEX"</f>
        <v>AP - TEX FLEX</v>
      </c>
      <c r="G1232" s="1">
        <v>94.5</v>
      </c>
      <c r="H1232" t="str">
        <f>"AP - TEX FLEX"</f>
        <v>AP - TEX FLEX</v>
      </c>
    </row>
    <row r="1233" spans="1:8" x14ac:dyDescent="0.25">
      <c r="E1233" t="str">
        <f>"HSA202009309113"</f>
        <v>HSA202009309113</v>
      </c>
      <c r="F1233" t="str">
        <f>"AP- HSA"</f>
        <v>AP- HSA</v>
      </c>
      <c r="G1233" s="1">
        <v>20</v>
      </c>
      <c r="H1233" t="str">
        <f>"AP- HSA"</f>
        <v>AP- HSA</v>
      </c>
    </row>
    <row r="1234" spans="1:8" x14ac:dyDescent="0.25">
      <c r="E1234" t="str">
        <f>"MHS202009309113"</f>
        <v>MHS202009309113</v>
      </c>
      <c r="F1234" t="str">
        <f>"AP - HEALTH SELECT MEDICAL"</f>
        <v>AP - HEALTH SELECT MEDICAL</v>
      </c>
      <c r="G1234" s="1">
        <v>957.52</v>
      </c>
      <c r="H1234" t="str">
        <f>"AP - HEALTH SELECT MEDICAL"</f>
        <v>AP - HEALTH SELECT MEDICAL</v>
      </c>
    </row>
    <row r="1235" spans="1:8" x14ac:dyDescent="0.25">
      <c r="E1235" t="str">
        <f>"MSW202009309113"</f>
        <v>MSW202009309113</v>
      </c>
      <c r="F1235" t="str">
        <f>"AP - SCOTT &amp; WHITE MEDICAL"</f>
        <v>AP - SCOTT &amp; WHITE MEDICAL</v>
      </c>
      <c r="G1235" s="1">
        <v>372.42</v>
      </c>
      <c r="H1235" t="str">
        <f>"AP - SCOTT &amp; WHITE MEDICAL"</f>
        <v>AP - SCOTT &amp; WHITE MEDICAL</v>
      </c>
    </row>
    <row r="1236" spans="1:8" x14ac:dyDescent="0.25">
      <c r="E1236" t="str">
        <f>"SPE202009309113"</f>
        <v>SPE202009309113</v>
      </c>
      <c r="F1236" t="str">
        <f>"AP - STATE VISION"</f>
        <v>AP - STATE VISION</v>
      </c>
      <c r="G1236" s="1">
        <v>61.22</v>
      </c>
      <c r="H1236" t="str">
        <f>"AP - STATE VISION"</f>
        <v>AP - STATE VISION</v>
      </c>
    </row>
    <row r="1237" spans="1:8" x14ac:dyDescent="0.25">
      <c r="A1237" t="s">
        <v>11</v>
      </c>
      <c r="B1237">
        <v>745</v>
      </c>
      <c r="C1237" s="1">
        <v>2068.89</v>
      </c>
      <c r="D1237" s="3">
        <v>44120</v>
      </c>
      <c r="E1237" t="str">
        <f>"DHM202010149553"</f>
        <v>DHM202010149553</v>
      </c>
      <c r="F1237" t="str">
        <f>"AP - DENTAL HMO"</f>
        <v>AP - DENTAL HMO</v>
      </c>
      <c r="G1237" s="1">
        <v>45.1</v>
      </c>
      <c r="H1237" t="str">
        <f>"AP - DENTAL HMO"</f>
        <v>AP - DENTAL HMO</v>
      </c>
    </row>
    <row r="1238" spans="1:8" x14ac:dyDescent="0.25">
      <c r="E1238" t="str">
        <f>"DTX202010149553"</f>
        <v>DTX202010149553</v>
      </c>
      <c r="F1238" t="str">
        <f>"AP - TEXAS DENTAL"</f>
        <v>AP - TEXAS DENTAL</v>
      </c>
      <c r="G1238" s="1">
        <v>359.12</v>
      </c>
      <c r="H1238" t="str">
        <f>"AP - TEXAS DENTAL"</f>
        <v>AP - TEXAS DENTAL</v>
      </c>
    </row>
    <row r="1239" spans="1:8" x14ac:dyDescent="0.25">
      <c r="E1239" t="str">
        <f>"FD 202010149553"</f>
        <v>FD 202010149553</v>
      </c>
      <c r="F1239" t="str">
        <f>"AP - FT DEARBORN PRE-TAX"</f>
        <v>AP - FT DEARBORN PRE-TAX</v>
      </c>
      <c r="G1239" s="1">
        <v>93.11</v>
      </c>
      <c r="H1239" t="str">
        <f>"AP - FT DEARBORN PRE-TAX"</f>
        <v>AP - FT DEARBORN PRE-TAX</v>
      </c>
    </row>
    <row r="1240" spans="1:8" x14ac:dyDescent="0.25">
      <c r="E1240" t="str">
        <f>"FDT202010149553"</f>
        <v>FDT202010149553</v>
      </c>
      <c r="F1240" t="str">
        <f>"AP - FT DEARBORN AFTER TAX"</f>
        <v>AP - FT DEARBORN AFTER TAX</v>
      </c>
      <c r="G1240" s="1">
        <v>65.900000000000006</v>
      </c>
      <c r="H1240" t="str">
        <f>"AP - FT DEARBORN AFTER TAX"</f>
        <v>AP - FT DEARBORN AFTER TAX</v>
      </c>
    </row>
    <row r="1241" spans="1:8" x14ac:dyDescent="0.25">
      <c r="E1241" t="str">
        <f>"FLX202010149553"</f>
        <v>FLX202010149553</v>
      </c>
      <c r="F1241" t="str">
        <f>"AP - TEX FLEX"</f>
        <v>AP - TEX FLEX</v>
      </c>
      <c r="G1241" s="1">
        <v>94.5</v>
      </c>
      <c r="H1241" t="str">
        <f>"AP - TEX FLEX"</f>
        <v>AP - TEX FLEX</v>
      </c>
    </row>
    <row r="1242" spans="1:8" x14ac:dyDescent="0.25">
      <c r="E1242" t="str">
        <f>"HSA202010149553"</f>
        <v>HSA202010149553</v>
      </c>
      <c r="F1242" t="str">
        <f>"AP- HSA"</f>
        <v>AP- HSA</v>
      </c>
      <c r="G1242" s="1">
        <v>20</v>
      </c>
      <c r="H1242" t="str">
        <f>"AP- HSA"</f>
        <v>AP- HSA</v>
      </c>
    </row>
    <row r="1243" spans="1:8" x14ac:dyDescent="0.25">
      <c r="E1243" t="str">
        <f>"MHS202010149553"</f>
        <v>MHS202010149553</v>
      </c>
      <c r="F1243" t="str">
        <f>"AP - HEALTH SELECT MEDICAL"</f>
        <v>AP - HEALTH SELECT MEDICAL</v>
      </c>
      <c r="G1243" s="1">
        <v>957.52</v>
      </c>
      <c r="H1243" t="str">
        <f>"AP - HEALTH SELECT MEDICAL"</f>
        <v>AP - HEALTH SELECT MEDICAL</v>
      </c>
    </row>
    <row r="1244" spans="1:8" x14ac:dyDescent="0.25">
      <c r="E1244" t="str">
        <f>"MSW202010149553"</f>
        <v>MSW202010149553</v>
      </c>
      <c r="F1244" t="str">
        <f>"AP - SCOTT &amp; WHITE MEDICAL"</f>
        <v>AP - SCOTT &amp; WHITE MEDICAL</v>
      </c>
      <c r="G1244" s="1">
        <v>372.42</v>
      </c>
      <c r="H1244" t="str">
        <f>"AP - SCOTT &amp; WHITE MEDICAL"</f>
        <v>AP - SCOTT &amp; WHITE MEDICAL</v>
      </c>
    </row>
    <row r="1245" spans="1:8" x14ac:dyDescent="0.25">
      <c r="E1245" t="str">
        <f>"SPE202010149553"</f>
        <v>SPE202010149553</v>
      </c>
      <c r="F1245" t="str">
        <f>"AP - STATE VISION"</f>
        <v>AP - STATE VISION</v>
      </c>
      <c r="G1245" s="1">
        <v>61.22</v>
      </c>
      <c r="H1245" t="str">
        <f>"AP - STATE VISION"</f>
        <v>AP - STATE VISION</v>
      </c>
    </row>
    <row r="1246" spans="1:8" x14ac:dyDescent="0.25">
      <c r="A1246" t="s">
        <v>10</v>
      </c>
      <c r="B1246">
        <v>755</v>
      </c>
      <c r="C1246" s="1">
        <v>4722.96</v>
      </c>
      <c r="D1246" s="3">
        <v>44131</v>
      </c>
      <c r="E1246" t="str">
        <f>"202010279766"</f>
        <v>202010279766</v>
      </c>
      <c r="F1246" t="str">
        <f>"OCTOBER 2020 - ADJ- J BATES"</f>
        <v>OCTOBER 2020 - ADJ- J BATES</v>
      </c>
      <c r="G1246" s="1">
        <v>-40.479999999999997</v>
      </c>
      <c r="H1246" t="str">
        <f>"OCTOBER 2020 - ADJ- J BATES"</f>
        <v>OCTOBER 2020 - ADJ- J BATES</v>
      </c>
    </row>
    <row r="1247" spans="1:8" x14ac:dyDescent="0.25">
      <c r="E1247" t="str">
        <f>"202010279769"</f>
        <v>202010279769</v>
      </c>
      <c r="F1247" t="str">
        <f>"OCTOBER 2020 - ADJ-J CRABBS"</f>
        <v>OCTOBER 2020 - ADJ-J CRABBS</v>
      </c>
      <c r="G1247" s="1">
        <v>-73.8</v>
      </c>
      <c r="H1247" t="str">
        <f>"OCTOBER 2020 - ADJ-J CRABBS"</f>
        <v>OCTOBER 2020 - ADJ-J CRABBS</v>
      </c>
    </row>
    <row r="1248" spans="1:8" x14ac:dyDescent="0.25">
      <c r="E1248" t="str">
        <f>"202010279767"</f>
        <v>202010279767</v>
      </c>
      <c r="F1248" t="str">
        <f>"OCTOBER 2020 - ADJ-D ADAMS"</f>
        <v>OCTOBER 2020 - ADJ-D ADAMS</v>
      </c>
      <c r="G1248" s="1">
        <v>36.9</v>
      </c>
      <c r="H1248" t="str">
        <f>"OCTOBER 2020 - ADJ-D ADAMS"</f>
        <v>OCTOBER 2020 - ADJ-D ADAMS</v>
      </c>
    </row>
    <row r="1249" spans="5:8" x14ac:dyDescent="0.25">
      <c r="E1249" t="str">
        <f>"202010279768"</f>
        <v>202010279768</v>
      </c>
      <c r="F1249" t="str">
        <f>"OCTOBER 2020 - ADJ-E INGRAM"</f>
        <v>OCTOBER 2020 - ADJ-E INGRAM</v>
      </c>
      <c r="G1249" s="1">
        <v>27.28</v>
      </c>
      <c r="H1249" t="str">
        <f>"OCTOBER 2020 - ADJ-E INGRAM"</f>
        <v>OCTOBER 2020 - ADJ-E INGRAM</v>
      </c>
    </row>
    <row r="1250" spans="5:8" x14ac:dyDescent="0.25">
      <c r="E1250" t="str">
        <f>"202010279770"</f>
        <v>202010279770</v>
      </c>
      <c r="F1250" t="str">
        <f>"OCTOBER 2020 - ROUNDING"</f>
        <v>OCTOBER 2020 - ROUNDING</v>
      </c>
      <c r="G1250" s="1">
        <v>0.44</v>
      </c>
      <c r="H1250" t="str">
        <f>"OCTOBER 2020 - ROUNDING"</f>
        <v>OCTOBER 2020 - ROUNDING</v>
      </c>
    </row>
    <row r="1251" spans="5:8" x14ac:dyDescent="0.25">
      <c r="E1251" t="str">
        <f>"CL 202009309111"</f>
        <v>CL 202009309111</v>
      </c>
      <c r="F1251" t="str">
        <f>"COLONIAL"</f>
        <v>COLONIAL</v>
      </c>
      <c r="G1251" s="1">
        <v>579.80999999999995</v>
      </c>
      <c r="H1251" t="str">
        <f>"COLONIAL"</f>
        <v>COLONIAL</v>
      </c>
    </row>
    <row r="1252" spans="5:8" x14ac:dyDescent="0.25">
      <c r="E1252" t="str">
        <f>"CL 202009309112"</f>
        <v>CL 202009309112</v>
      </c>
      <c r="F1252" t="str">
        <f>"COLONIAL"</f>
        <v>COLONIAL</v>
      </c>
      <c r="G1252" s="1">
        <v>14.49</v>
      </c>
      <c r="H1252" t="str">
        <f>"COLONIAL"</f>
        <v>COLONIAL</v>
      </c>
    </row>
    <row r="1253" spans="5:8" x14ac:dyDescent="0.25">
      <c r="E1253" t="str">
        <f>"CL 202010149551"</f>
        <v>CL 202010149551</v>
      </c>
      <c r="F1253" t="str">
        <f>"COLONIAL"</f>
        <v>COLONIAL</v>
      </c>
      <c r="G1253" s="1">
        <v>579.80999999999995</v>
      </c>
      <c r="H1253" t="str">
        <f>"COLONIAL"</f>
        <v>COLONIAL</v>
      </c>
    </row>
    <row r="1254" spans="5:8" x14ac:dyDescent="0.25">
      <c r="E1254" t="str">
        <f>"CL 202010149552"</f>
        <v>CL 202010149552</v>
      </c>
      <c r="F1254" t="str">
        <f>"COLONIAL"</f>
        <v>COLONIAL</v>
      </c>
      <c r="G1254" s="1">
        <v>14.49</v>
      </c>
      <c r="H1254" t="str">
        <f>"COLONIAL"</f>
        <v>COLONIAL</v>
      </c>
    </row>
    <row r="1255" spans="5:8" x14ac:dyDescent="0.25">
      <c r="E1255" t="str">
        <f>"CLC202009309111"</f>
        <v>CLC202009309111</v>
      </c>
      <c r="F1255" t="str">
        <f>"COLONIAL"</f>
        <v>COLONIAL</v>
      </c>
      <c r="G1255" s="1">
        <v>33.99</v>
      </c>
      <c r="H1255" t="str">
        <f>"COLONIAL"</f>
        <v>COLONIAL</v>
      </c>
    </row>
    <row r="1256" spans="5:8" x14ac:dyDescent="0.25">
      <c r="E1256" t="str">
        <f>"CLC202010149551"</f>
        <v>CLC202010149551</v>
      </c>
      <c r="F1256" t="str">
        <f>"COLONIAL"</f>
        <v>COLONIAL</v>
      </c>
      <c r="G1256" s="1">
        <v>33.99</v>
      </c>
      <c r="H1256" t="str">
        <f>"COLONIAL"</f>
        <v>COLONIAL</v>
      </c>
    </row>
    <row r="1257" spans="5:8" x14ac:dyDescent="0.25">
      <c r="E1257" t="str">
        <f>"CLI202009309111"</f>
        <v>CLI202009309111</v>
      </c>
      <c r="F1257" t="str">
        <f>"COLONIAL"</f>
        <v>COLONIAL</v>
      </c>
      <c r="G1257" s="1">
        <v>534.04</v>
      </c>
      <c r="H1257" t="str">
        <f>"COLONIAL"</f>
        <v>COLONIAL</v>
      </c>
    </row>
    <row r="1258" spans="5:8" x14ac:dyDescent="0.25">
      <c r="E1258" t="str">
        <f>"CLI202010149551"</f>
        <v>CLI202010149551</v>
      </c>
      <c r="F1258" t="str">
        <f>"COLONIAL"</f>
        <v>COLONIAL</v>
      </c>
      <c r="G1258" s="1">
        <v>534.04</v>
      </c>
      <c r="H1258" t="str">
        <f>"COLONIAL"</f>
        <v>COLONIAL</v>
      </c>
    </row>
    <row r="1259" spans="5:8" x14ac:dyDescent="0.25">
      <c r="E1259" t="str">
        <f>"CLK202009309111"</f>
        <v>CLK202009309111</v>
      </c>
      <c r="F1259" t="str">
        <f>"COLONIAL"</f>
        <v>COLONIAL</v>
      </c>
      <c r="G1259" s="1">
        <v>27.09</v>
      </c>
      <c r="H1259" t="str">
        <f>"COLONIAL"</f>
        <v>COLONIAL</v>
      </c>
    </row>
    <row r="1260" spans="5:8" x14ac:dyDescent="0.25">
      <c r="E1260" t="str">
        <f>"CLK202010149551"</f>
        <v>CLK202010149551</v>
      </c>
      <c r="F1260" t="str">
        <f>"COLONIAL"</f>
        <v>COLONIAL</v>
      </c>
      <c r="G1260" s="1">
        <v>27.09</v>
      </c>
      <c r="H1260" t="str">
        <f>"COLONIAL"</f>
        <v>COLONIAL</v>
      </c>
    </row>
    <row r="1261" spans="5:8" x14ac:dyDescent="0.25">
      <c r="E1261" t="str">
        <f>"CLS202009309111"</f>
        <v>CLS202009309111</v>
      </c>
      <c r="F1261" t="str">
        <f>"COLONIAL"</f>
        <v>COLONIAL</v>
      </c>
      <c r="G1261" s="1">
        <v>418.97</v>
      </c>
      <c r="H1261" t="str">
        <f>"COLONIAL"</f>
        <v>COLONIAL</v>
      </c>
    </row>
    <row r="1262" spans="5:8" x14ac:dyDescent="0.25">
      <c r="E1262" t="str">
        <f>"CLS202009309112"</f>
        <v>CLS202009309112</v>
      </c>
      <c r="F1262" t="str">
        <f>"COLONIAL"</f>
        <v>COLONIAL</v>
      </c>
      <c r="G1262" s="1">
        <v>15.73</v>
      </c>
      <c r="H1262" t="str">
        <f>"COLONIAL"</f>
        <v>COLONIAL</v>
      </c>
    </row>
    <row r="1263" spans="5:8" x14ac:dyDescent="0.25">
      <c r="E1263" t="str">
        <f>"CLS202010149551"</f>
        <v>CLS202010149551</v>
      </c>
      <c r="F1263" t="str">
        <f>"COLONIAL"</f>
        <v>COLONIAL</v>
      </c>
      <c r="G1263" s="1">
        <v>345.17</v>
      </c>
      <c r="H1263" t="str">
        <f>"COLONIAL"</f>
        <v>COLONIAL</v>
      </c>
    </row>
    <row r="1264" spans="5:8" x14ac:dyDescent="0.25">
      <c r="E1264" t="str">
        <f>"CLS202010149552"</f>
        <v>CLS202010149552</v>
      </c>
      <c r="F1264" t="str">
        <f>"COLONIAL"</f>
        <v>COLONIAL</v>
      </c>
      <c r="G1264" s="1">
        <v>15.73</v>
      </c>
      <c r="H1264" t="str">
        <f>"COLONIAL"</f>
        <v>COLONIAL</v>
      </c>
    </row>
    <row r="1265" spans="1:8" x14ac:dyDescent="0.25">
      <c r="E1265" t="str">
        <f>"CLT202009309111"</f>
        <v>CLT202009309111</v>
      </c>
      <c r="F1265" t="str">
        <f>"COLONIAL"</f>
        <v>COLONIAL</v>
      </c>
      <c r="G1265" s="1">
        <v>378.74</v>
      </c>
      <c r="H1265" t="str">
        <f>"COLONIAL"</f>
        <v>COLONIAL</v>
      </c>
    </row>
    <row r="1266" spans="1:8" x14ac:dyDescent="0.25">
      <c r="E1266" t="str">
        <f>"CLT202010149551"</f>
        <v>CLT202010149551</v>
      </c>
      <c r="F1266" t="str">
        <f>"COLONIAL"</f>
        <v>COLONIAL</v>
      </c>
      <c r="G1266" s="1">
        <v>378.74</v>
      </c>
      <c r="H1266" t="str">
        <f>"COLONIAL"</f>
        <v>COLONIAL</v>
      </c>
    </row>
    <row r="1267" spans="1:8" x14ac:dyDescent="0.25">
      <c r="E1267" t="str">
        <f>"CLU202009309111"</f>
        <v>CLU202009309111</v>
      </c>
      <c r="F1267" t="str">
        <f>"COLONIAL"</f>
        <v>COLONIAL</v>
      </c>
      <c r="G1267" s="1">
        <v>111.55</v>
      </c>
      <c r="H1267" t="str">
        <f>"COLONIAL"</f>
        <v>COLONIAL</v>
      </c>
    </row>
    <row r="1268" spans="1:8" x14ac:dyDescent="0.25">
      <c r="E1268" t="str">
        <f>"CLU202010149551"</f>
        <v>CLU202010149551</v>
      </c>
      <c r="F1268" t="str">
        <f>"COLONIAL"</f>
        <v>COLONIAL</v>
      </c>
      <c r="G1268" s="1">
        <v>111.55</v>
      </c>
      <c r="H1268" t="str">
        <f>"COLONIAL"</f>
        <v>COLONIAL</v>
      </c>
    </row>
    <row r="1269" spans="1:8" x14ac:dyDescent="0.25">
      <c r="E1269" t="str">
        <f>"CLW202009309111"</f>
        <v>CLW202009309111</v>
      </c>
      <c r="F1269" t="str">
        <f>"COLONIAL"</f>
        <v>COLONIAL</v>
      </c>
      <c r="G1269" s="1">
        <v>308.8</v>
      </c>
      <c r="H1269" t="str">
        <f>"COLONIAL"</f>
        <v>COLONIAL</v>
      </c>
    </row>
    <row r="1270" spans="1:8" x14ac:dyDescent="0.25">
      <c r="E1270" t="str">
        <f>"CLW202010149551"</f>
        <v>CLW202010149551</v>
      </c>
      <c r="F1270" t="str">
        <f>"COLONIAL"</f>
        <v>COLONIAL</v>
      </c>
      <c r="G1270" s="1">
        <v>308.8</v>
      </c>
      <c r="H1270" t="str">
        <f>"COLONIAL"</f>
        <v>COLONIAL</v>
      </c>
    </row>
    <row r="1271" spans="1:8" x14ac:dyDescent="0.25">
      <c r="A1271" t="s">
        <v>9</v>
      </c>
      <c r="B1271">
        <v>728</v>
      </c>
      <c r="C1271" s="1">
        <v>7678.23</v>
      </c>
      <c r="D1271" s="3">
        <v>44106</v>
      </c>
      <c r="E1271" t="str">
        <f>"CPI202009309111"</f>
        <v>CPI202009309111</v>
      </c>
      <c r="F1271" t="str">
        <f>"DEFERRED COMP 457B PAYABLE"</f>
        <v>DEFERRED COMP 457B PAYABLE</v>
      </c>
      <c r="G1271" s="1">
        <v>7570.73</v>
      </c>
      <c r="H1271" t="str">
        <f>"DEFERRED COMP 457B PAYABLE"</f>
        <v>DEFERRED COMP 457B PAYABLE</v>
      </c>
    </row>
    <row r="1272" spans="1:8" x14ac:dyDescent="0.25">
      <c r="E1272" t="str">
        <f>"CPI202009309112"</f>
        <v>CPI202009309112</v>
      </c>
      <c r="F1272" t="str">
        <f>"DEFERRED COMP 457B PAYABLE"</f>
        <v>DEFERRED COMP 457B PAYABLE</v>
      </c>
      <c r="G1272" s="1">
        <v>107.5</v>
      </c>
      <c r="H1272" t="str">
        <f>"DEFERRED COMP 457B PAYABLE"</f>
        <v>DEFERRED COMP 457B PAYABLE</v>
      </c>
    </row>
    <row r="1273" spans="1:8" x14ac:dyDescent="0.25">
      <c r="A1273" t="s">
        <v>9</v>
      </c>
      <c r="B1273">
        <v>746</v>
      </c>
      <c r="C1273" s="1">
        <v>7795.91</v>
      </c>
      <c r="D1273" s="3">
        <v>44120</v>
      </c>
      <c r="E1273" t="str">
        <f>"CPI202010149551"</f>
        <v>CPI202010149551</v>
      </c>
      <c r="F1273" t="str">
        <f>"DEFERRED COMP 457B PAYABLE"</f>
        <v>DEFERRED COMP 457B PAYABLE</v>
      </c>
      <c r="G1273" s="1">
        <v>7700.91</v>
      </c>
      <c r="H1273" t="str">
        <f>"DEFERRED COMP 457B PAYABLE"</f>
        <v>DEFERRED COMP 457B PAYABLE</v>
      </c>
    </row>
    <row r="1274" spans="1:8" x14ac:dyDescent="0.25">
      <c r="E1274" t="str">
        <f>"CPI202010149552"</f>
        <v>CPI202010149552</v>
      </c>
      <c r="F1274" t="str">
        <f>"DEFERRED COMP 457B PAYABLE"</f>
        <v>DEFERRED COMP 457B PAYABLE</v>
      </c>
      <c r="G1274" s="1">
        <v>95</v>
      </c>
      <c r="H1274" t="str">
        <f>"DEFERRED COMP 457B PAYABLE"</f>
        <v>DEFERRED COMP 457B PAYABLE</v>
      </c>
    </row>
    <row r="1275" spans="1:8" x14ac:dyDescent="0.25">
      <c r="A1275" t="s">
        <v>9</v>
      </c>
      <c r="B1275">
        <v>757</v>
      </c>
      <c r="C1275" s="1">
        <v>7755.89</v>
      </c>
      <c r="D1275" s="3">
        <v>44134</v>
      </c>
      <c r="E1275" t="str">
        <f>"CPI202010289789"</f>
        <v>CPI202010289789</v>
      </c>
      <c r="F1275" t="str">
        <f>"DEFERRED COMP 457B PAYABLE"</f>
        <v>DEFERRED COMP 457B PAYABLE</v>
      </c>
      <c r="G1275" s="1">
        <v>7660.89</v>
      </c>
      <c r="H1275" t="str">
        <f>"DEFERRED COMP 457B PAYABLE"</f>
        <v>DEFERRED COMP 457B PAYABLE</v>
      </c>
    </row>
    <row r="1276" spans="1:8" x14ac:dyDescent="0.25">
      <c r="E1276" t="str">
        <f>"CPI202010289790"</f>
        <v>CPI202010289790</v>
      </c>
      <c r="F1276" t="str">
        <f>"DEFERRED COMP 457B PAYABLE"</f>
        <v>DEFERRED COMP 457B PAYABLE</v>
      </c>
      <c r="G1276" s="1">
        <v>95</v>
      </c>
      <c r="H1276" t="str">
        <f>"DEFERRED COMP 457B PAYABLE"</f>
        <v>DEFERRED COMP 457B PAYABLE</v>
      </c>
    </row>
    <row r="1277" spans="1:8" x14ac:dyDescent="0.25">
      <c r="A1277" t="s">
        <v>8</v>
      </c>
      <c r="B1277">
        <v>751</v>
      </c>
      <c r="C1277" s="1">
        <v>41848.69</v>
      </c>
      <c r="D1277" s="3">
        <v>44131</v>
      </c>
      <c r="E1277" t="str">
        <f>"202010269764"</f>
        <v>202010269764</v>
      </c>
      <c r="F1277" t="str">
        <f>"RETIREE INS - OCTOBER 2020"</f>
        <v>RETIREE INS - OCTOBER 2020</v>
      </c>
      <c r="G1277" s="1">
        <v>3379.3</v>
      </c>
      <c r="H1277" t="str">
        <f>"RETIREE INS - OCTOBER 2020"</f>
        <v>RETIREE INS - OCTOBER 2020</v>
      </c>
    </row>
    <row r="1278" spans="1:8" x14ac:dyDescent="0.25">
      <c r="E1278" t="str">
        <f>"202010269765"</f>
        <v>202010269765</v>
      </c>
      <c r="F1278" t="str">
        <f>"COBRA INS - ZURITA - OCT 2020"</f>
        <v>COBRA INS - ZURITA - OCT 2020</v>
      </c>
      <c r="G1278" s="1">
        <v>120.1</v>
      </c>
      <c r="H1278" t="str">
        <f>"COBRA INS - ZURITA - OCT 2020"</f>
        <v>COBRA INS - ZURITA - OCT 2020</v>
      </c>
    </row>
    <row r="1279" spans="1:8" x14ac:dyDescent="0.25">
      <c r="E1279" t="str">
        <f>"202010279772"</f>
        <v>202010279772</v>
      </c>
      <c r="F1279" t="str">
        <f>"OCTOBER 2020 - ADJ"</f>
        <v>OCTOBER 2020 - ADJ</v>
      </c>
      <c r="G1279" s="1">
        <v>5.43</v>
      </c>
      <c r="H1279" t="str">
        <f>"OCTOBER 2020 - ADJ"</f>
        <v>OCTOBER 2020 - ADJ</v>
      </c>
    </row>
    <row r="1280" spans="1:8" x14ac:dyDescent="0.25">
      <c r="E1280" t="str">
        <f>"ADC202009309111"</f>
        <v>ADC202009309111</v>
      </c>
      <c r="F1280" t="str">
        <f>"GUARDIAN"</f>
        <v>GUARDIAN</v>
      </c>
      <c r="G1280" s="1">
        <v>4.59</v>
      </c>
      <c r="H1280" t="str">
        <f>"GUARDIAN"</f>
        <v>GUARDIAN</v>
      </c>
    </row>
    <row r="1281" spans="5:8" x14ac:dyDescent="0.25">
      <c r="E1281" t="str">
        <f>"ADC202009309112"</f>
        <v>ADC202009309112</v>
      </c>
      <c r="F1281" t="str">
        <f>"GUARDIAN"</f>
        <v>GUARDIAN</v>
      </c>
      <c r="G1281" s="1">
        <v>0.16</v>
      </c>
      <c r="H1281" t="str">
        <f>"GUARDIAN"</f>
        <v>GUARDIAN</v>
      </c>
    </row>
    <row r="1282" spans="5:8" x14ac:dyDescent="0.25">
      <c r="E1282" t="str">
        <f>"ADC202010149551"</f>
        <v>ADC202010149551</v>
      </c>
      <c r="F1282" t="str">
        <f>"GUARDIAN"</f>
        <v>GUARDIAN</v>
      </c>
      <c r="G1282" s="1">
        <v>4.59</v>
      </c>
      <c r="H1282" t="str">
        <f>"GUARDIAN"</f>
        <v>GUARDIAN</v>
      </c>
    </row>
    <row r="1283" spans="5:8" x14ac:dyDescent="0.25">
      <c r="E1283" t="str">
        <f>"ADC202010149552"</f>
        <v>ADC202010149552</v>
      </c>
      <c r="F1283" t="str">
        <f>"GUARDIAN"</f>
        <v>GUARDIAN</v>
      </c>
      <c r="G1283" s="1">
        <v>0.16</v>
      </c>
      <c r="H1283" t="str">
        <f>"GUARDIAN"</f>
        <v>GUARDIAN</v>
      </c>
    </row>
    <row r="1284" spans="5:8" x14ac:dyDescent="0.25">
      <c r="E1284" t="str">
        <f>"ADE202009309111"</f>
        <v>ADE202009309111</v>
      </c>
      <c r="F1284" t="str">
        <f>"GUARDIAN"</f>
        <v>GUARDIAN</v>
      </c>
      <c r="G1284" s="1">
        <v>229.08</v>
      </c>
      <c r="H1284" t="str">
        <f>"GUARDIAN"</f>
        <v>GUARDIAN</v>
      </c>
    </row>
    <row r="1285" spans="5:8" x14ac:dyDescent="0.25">
      <c r="E1285" t="str">
        <f>"ADE202009309112"</f>
        <v>ADE202009309112</v>
      </c>
      <c r="F1285" t="str">
        <f>"GUARDIAN"</f>
        <v>GUARDIAN</v>
      </c>
      <c r="G1285" s="1">
        <v>6.3</v>
      </c>
      <c r="H1285" t="str">
        <f>"GUARDIAN"</f>
        <v>GUARDIAN</v>
      </c>
    </row>
    <row r="1286" spans="5:8" x14ac:dyDescent="0.25">
      <c r="E1286" t="str">
        <f>"ADE202010149551"</f>
        <v>ADE202010149551</v>
      </c>
      <c r="F1286" t="str">
        <f>"GUARDIAN"</f>
        <v>GUARDIAN</v>
      </c>
      <c r="G1286" s="1">
        <v>229.08</v>
      </c>
      <c r="H1286" t="str">
        <f>"GUARDIAN"</f>
        <v>GUARDIAN</v>
      </c>
    </row>
    <row r="1287" spans="5:8" x14ac:dyDescent="0.25">
      <c r="E1287" t="str">
        <f>"ADE202010149552"</f>
        <v>ADE202010149552</v>
      </c>
      <c r="F1287" t="str">
        <f>"GUARDIAN"</f>
        <v>GUARDIAN</v>
      </c>
      <c r="G1287" s="1">
        <v>6.3</v>
      </c>
      <c r="H1287" t="str">
        <f>"GUARDIAN"</f>
        <v>GUARDIAN</v>
      </c>
    </row>
    <row r="1288" spans="5:8" x14ac:dyDescent="0.25">
      <c r="E1288" t="str">
        <f>"ADS202009309111"</f>
        <v>ADS202009309111</v>
      </c>
      <c r="F1288" t="str">
        <f>"GUARDIAN"</f>
        <v>GUARDIAN</v>
      </c>
      <c r="G1288" s="1">
        <v>40.020000000000003</v>
      </c>
      <c r="H1288" t="str">
        <f>"GUARDIAN"</f>
        <v>GUARDIAN</v>
      </c>
    </row>
    <row r="1289" spans="5:8" x14ac:dyDescent="0.25">
      <c r="E1289" t="str">
        <f>"ADS202009309112"</f>
        <v>ADS202009309112</v>
      </c>
      <c r="F1289" t="str">
        <f>"GUARDIAN"</f>
        <v>GUARDIAN</v>
      </c>
      <c r="G1289" s="1">
        <v>0.53</v>
      </c>
      <c r="H1289" t="str">
        <f>"GUARDIAN"</f>
        <v>GUARDIAN</v>
      </c>
    </row>
    <row r="1290" spans="5:8" x14ac:dyDescent="0.25">
      <c r="E1290" t="str">
        <f>"ADS202010149551"</f>
        <v>ADS202010149551</v>
      </c>
      <c r="F1290" t="str">
        <f>"GUARDIAN"</f>
        <v>GUARDIAN</v>
      </c>
      <c r="G1290" s="1">
        <v>40.020000000000003</v>
      </c>
      <c r="H1290" t="str">
        <f>"GUARDIAN"</f>
        <v>GUARDIAN</v>
      </c>
    </row>
    <row r="1291" spans="5:8" x14ac:dyDescent="0.25">
      <c r="E1291" t="str">
        <f>"ADS202010149552"</f>
        <v>ADS202010149552</v>
      </c>
      <c r="F1291" t="str">
        <f>"GUARDIAN"</f>
        <v>GUARDIAN</v>
      </c>
      <c r="G1291" s="1">
        <v>0.53</v>
      </c>
      <c r="H1291" t="str">
        <f>"GUARDIAN"</f>
        <v>GUARDIAN</v>
      </c>
    </row>
    <row r="1292" spans="5:8" x14ac:dyDescent="0.25">
      <c r="E1292" t="str">
        <f>"GDC202009309111"</f>
        <v>GDC202009309111</v>
      </c>
      <c r="F1292" t="str">
        <f>"GUARDIAN"</f>
        <v>GUARDIAN</v>
      </c>
      <c r="G1292" s="1">
        <v>2580.96</v>
      </c>
      <c r="H1292" t="str">
        <f>"GUARDIAN"</f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>"GUARDIAN"</f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>"GUARDIAN"</f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>"GUARDIAN"</f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>"GUARDIAN"</f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>"GUARDIAN"</f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>"GUARDIAN"</f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>"GUARDIAN"</f>
        <v>GUARDIAN</v>
      </c>
    </row>
    <row r="1300" spans="5:8" x14ac:dyDescent="0.25">
      <c r="E1300" t="str">
        <f>""</f>
        <v/>
      </c>
      <c r="F1300" t="str">
        <f>""</f>
        <v/>
      </c>
      <c r="H1300" t="str">
        <f>"GUARDIAN"</f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>"GUARDIAN"</f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>"GUARDIAN"</f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>"GUARDIAN"</f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>"GUARDIAN"</f>
        <v>GUARDIAN</v>
      </c>
    </row>
    <row r="1305" spans="5:8" x14ac:dyDescent="0.25">
      <c r="E1305" t="str">
        <f>""</f>
        <v/>
      </c>
      <c r="F1305" t="str">
        <f>""</f>
        <v/>
      </c>
      <c r="H1305" t="str">
        <f>"GUARDIAN"</f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>"GUARDIAN"</f>
        <v>GUARDIAN</v>
      </c>
    </row>
    <row r="1307" spans="5:8" x14ac:dyDescent="0.25">
      <c r="E1307" t="str">
        <f>""</f>
        <v/>
      </c>
      <c r="F1307" t="str">
        <f>""</f>
        <v/>
      </c>
      <c r="H1307" t="str">
        <f>"GUARDIAN"</f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>"GUARDIAN"</f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>"GUARDIAN"</f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>"GUARDIAN"</f>
        <v>GUARDIAN</v>
      </c>
    </row>
    <row r="1311" spans="5:8" x14ac:dyDescent="0.25">
      <c r="E1311" t="str">
        <f>""</f>
        <v/>
      </c>
      <c r="F1311" t="str">
        <f>""</f>
        <v/>
      </c>
      <c r="H1311" t="str">
        <f>"GUARDIAN"</f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>"GUARDIAN"</f>
        <v>GUARDIAN</v>
      </c>
    </row>
    <row r="1313" spans="5:8" x14ac:dyDescent="0.25">
      <c r="E1313" t="str">
        <f>""</f>
        <v/>
      </c>
      <c r="F1313" t="str">
        <f>""</f>
        <v/>
      </c>
      <c r="H1313" t="str">
        <f>"GUARDIAN"</f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>"GUARDIAN"</f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>"GUARDIAN"</f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>"GUARDIAN"</f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>"GUARDIAN"</f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>"GUARDIAN"</f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>"GUARDIAN"</f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>"GUARDIAN"</f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>"GUARDIAN"</f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>"GUARDIAN"</f>
        <v>GUARDIAN</v>
      </c>
    </row>
    <row r="1323" spans="5:8" x14ac:dyDescent="0.25">
      <c r="E1323" t="str">
        <f>"GDC202009309112"</f>
        <v>GDC202009309112</v>
      </c>
      <c r="F1323" t="str">
        <f>"GUARDIAN"</f>
        <v>GUARDIAN</v>
      </c>
      <c r="G1323" s="1">
        <v>135.84</v>
      </c>
      <c r="H1323" t="str">
        <f>"GUARDIAN"</f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>"GUARDIAN"</f>
        <v>GUARDIAN</v>
      </c>
    </row>
    <row r="1325" spans="5:8" x14ac:dyDescent="0.25">
      <c r="E1325" t="str">
        <f>"GDC202010149551"</f>
        <v>GDC202010149551</v>
      </c>
      <c r="F1325" t="str">
        <f>"GUARDIAN"</f>
        <v>GUARDIAN</v>
      </c>
      <c r="G1325" s="1">
        <v>2580.96</v>
      </c>
      <c r="H1325" t="str">
        <f>"GUARDIAN"</f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>"GUARDIAN"</f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>"GUARDIAN"</f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>"GUARDIAN"</f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>"GUARDIAN"</f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>"GUARDIAN"</f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>"GUARDIAN"</f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>"GUARDIAN"</f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>"GUARDIAN"</f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>"GUARDIAN"</f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>"GUARDIAN"</f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>"GUARDIAN"</f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>"GUARDIAN"</f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>"GUARDIAN"</f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>"GUARDIAN"</f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>"GUARDIAN"</f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>"GUARDIAN"</f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>"GUARDIAN"</f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>"GUARDIAN"</f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>"GUARDIAN"</f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>"GUARDIAN"</f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>"GUARDIAN"</f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>"GUARDIAN"</f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>"GUARDIAN"</f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>"GUARDIAN"</f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>"GUARDIAN"</f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>"GUARDIAN"</f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>"GUARDIAN"</f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>"GUARDIAN"</f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>"GUARDIAN"</f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>"GUARDIAN"</f>
        <v>GUARDIAN</v>
      </c>
    </row>
    <row r="1356" spans="5:8" x14ac:dyDescent="0.25">
      <c r="E1356" t="str">
        <f>"GDC202010149552"</f>
        <v>GDC202010149552</v>
      </c>
      <c r="F1356" t="str">
        <f>"GUARDIAN"</f>
        <v>GUARDIAN</v>
      </c>
      <c r="G1356" s="1">
        <v>135.84</v>
      </c>
      <c r="H1356" t="str">
        <f>"GUARDIAN"</f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>"GUARDIAN"</f>
        <v>GUARDIAN</v>
      </c>
    </row>
    <row r="1358" spans="5:8" x14ac:dyDescent="0.25">
      <c r="E1358" t="str">
        <f>"GDE202009309111"</f>
        <v>GDE202009309111</v>
      </c>
      <c r="F1358" t="str">
        <f>"GUARDIAN"</f>
        <v>GUARDIAN</v>
      </c>
      <c r="G1358" s="1">
        <v>4386.1499999999996</v>
      </c>
      <c r="H1358" t="str">
        <f>"GUARDIAN"</f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>"GUARDIAN"</f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>"GUARDIAN"</f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>"GUARDIAN"</f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>"GUARDIAN"</f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>"GUARDIAN"</f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>"GUARDIAN"</f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>"GUARDIAN"</f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>"GUARDIAN"</f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>"GUARDIAN"</f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>"GUARDIAN"</f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>"GUARDIAN"</f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>"GUARDIAN"</f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>"GUARDIAN"</f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>"GUARDIAN"</f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>"GUARDIAN"</f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>"GUARDIAN"</f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>"GUARDIAN"</f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>"GUARDIAN"</f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>"GUARDIAN"</f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>"GUARDIAN"</f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>"GUARDIAN"</f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>"GUARDIAN"</f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>"GUARDIAN"</f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>"GUARDIAN"</f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>"GUARDIAN"</f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>"GUARDIAN"</f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>"GUARDIAN"</f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>"GUARDIAN"</f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>"GUARDIAN"</f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>"GUARDIAN"</f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>"GUARDIAN"</f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>"GUARDIAN"</f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>"GUARDIAN"</f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>"GUARDIAN"</f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>"GUARDIAN"</f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>"GUARDIAN"</f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>"GUARDIAN"</f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>"GUARDIAN"</f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>"GUARDIAN"</f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>"GUARDIAN"</f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>"GUARDIAN"</f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>"GUARDIAN"</f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>"GUARDIAN"</f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>"GUARDIAN"</f>
        <v>GUARDIAN</v>
      </c>
    </row>
    <row r="1403" spans="5:8" x14ac:dyDescent="0.25">
      <c r="E1403" t="str">
        <f>"GDE202009309112"</f>
        <v>GDE202009309112</v>
      </c>
      <c r="F1403" t="str">
        <f>"GUARDIAN"</f>
        <v>GUARDIAN</v>
      </c>
      <c r="G1403" s="1">
        <v>184.68</v>
      </c>
      <c r="H1403" t="str">
        <f>"GUARDIAN"</f>
        <v>GUARDIAN</v>
      </c>
    </row>
    <row r="1404" spans="5:8" x14ac:dyDescent="0.25">
      <c r="E1404" t="str">
        <f>"GDE202010149551"</f>
        <v>GDE202010149551</v>
      </c>
      <c r="F1404" t="str">
        <f>"GUARDIAN"</f>
        <v>GUARDIAN</v>
      </c>
      <c r="G1404" s="1">
        <v>4386.1499999999996</v>
      </c>
      <c r="H1404" t="str">
        <f>"GUARDIAN"</f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>"GUARDIAN"</f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>"GUARDIAN"</f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>"GUARDIAN"</f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>"GUARDIAN"</f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>"GUARDIAN"</f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>"GUARDIAN"</f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>"GUARDIAN"</f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>"GUARDIAN"</f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>"GUARDIAN"</f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>"GUARDIAN"</f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>"GUARDIAN"</f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>"GUARDIAN"</f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>"GUARDIAN"</f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>"GUARDIAN"</f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>"GUARDIAN"</f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>"GUARDIAN"</f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>"GUARDIAN"</f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>"GUARDIAN"</f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>"GUARDIAN"</f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>"GUARDIAN"</f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>"GUARDIAN"</f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>"GUARDIAN"</f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>"GUARDIAN"</f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>"GUARDIAN"</f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>"GUARDIAN"</f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>"GUARDIAN"</f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>"GUARDIAN"</f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>"GUARDIAN"</f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>"GUARDIAN"</f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>"GUARDIAN"</f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>"GUARDIAN"</f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>"GUARDIAN"</f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>"GUARDIAN"</f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>"GUARDIAN"</f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>"GUARDIAN"</f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>"GUARDIAN"</f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>"GUARDIAN"</f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>"GUARDIAN"</f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>"GUARDIAN"</f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>"GUARDIAN"</f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>"GUARDIAN"</f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>"GUARDIAN"</f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>"GUARDIAN"</f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>"GUARDIAN"</f>
        <v>GUARDIAN</v>
      </c>
    </row>
    <row r="1449" spans="5:8" x14ac:dyDescent="0.25">
      <c r="E1449" t="str">
        <f>"GDE202010149552"</f>
        <v>GDE202010149552</v>
      </c>
      <c r="F1449" t="str">
        <f>"GUARDIAN"</f>
        <v>GUARDIAN</v>
      </c>
      <c r="G1449" s="1">
        <v>153.9</v>
      </c>
      <c r="H1449" t="str">
        <f>"GUARDIAN"</f>
        <v>GUARDIAN</v>
      </c>
    </row>
    <row r="1450" spans="5:8" x14ac:dyDescent="0.25">
      <c r="E1450" t="str">
        <f>"GDF202009309111"</f>
        <v>GDF202009309111</v>
      </c>
      <c r="F1450" t="str">
        <f>"GUARDIAN"</f>
        <v>GUARDIAN</v>
      </c>
      <c r="G1450" s="1">
        <v>2209.2399999999998</v>
      </c>
      <c r="H1450" t="str">
        <f>"GUARDIAN"</f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>"GUARDIAN"</f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>"GUARDIAN"</f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>"GUARDIAN"</f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>"GUARDIAN"</f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>"GUARDIAN"</f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>"GUARDIAN"</f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>"GUARDIAN"</f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>"GUARDIAN"</f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>"GUARDIAN"</f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>"GUARDIAN"</f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>"GUARDIAN"</f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>"GUARDIAN"</f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>"GUARDIAN"</f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>"GUARDIAN"</f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>"GUARDIAN"</f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>"GUARDIAN"</f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>"GUARDIAN"</f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>"GUARDIAN"</f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>"GUARDIAN"</f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>"GUARDIAN"</f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>"GUARDIAN"</f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>"GUARDIAN"</f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>"GUARDIAN"</f>
        <v>GUARDIAN</v>
      </c>
    </row>
    <row r="1474" spans="5:8" x14ac:dyDescent="0.25">
      <c r="E1474" t="str">
        <f>"GDF202009309112"</f>
        <v>GDF202009309112</v>
      </c>
      <c r="F1474" t="str">
        <f>"GUARDIAN"</f>
        <v>GUARDIAN</v>
      </c>
      <c r="G1474" s="1">
        <v>50.21</v>
      </c>
      <c r="H1474" t="str">
        <f>"GUARDIAN"</f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>"GUARDIAN"</f>
        <v>GUARDIAN</v>
      </c>
    </row>
    <row r="1476" spans="5:8" x14ac:dyDescent="0.25">
      <c r="E1476" t="str">
        <f>"GDF202010149551"</f>
        <v>GDF202010149551</v>
      </c>
      <c r="F1476" t="str">
        <f>"GUARDIAN"</f>
        <v>GUARDIAN</v>
      </c>
      <c r="G1476" s="1">
        <v>2209.2399999999998</v>
      </c>
      <c r="H1476" t="str">
        <f>"GUARDIAN"</f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>"GUARDIAN"</f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>"GUARDIAN"</f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>"GUARDIAN"</f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>"GUARDIAN"</f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>"GUARDIAN"</f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>"GUARDIAN"</f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>"GUARDIAN"</f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>"GUARDIAN"</f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>"GUARDIAN"</f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>"GUARDIAN"</f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>"GUARDIAN"</f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>"GUARDIAN"</f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>"GUARDIAN"</f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>"GUARDIAN"</f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>"GUARDIAN"</f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>"GUARDIAN"</f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>"GUARDIAN"</f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>"GUARDIAN"</f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>"GUARDIAN"</f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>"GUARDIAN"</f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>"GUARDIAN"</f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>"GUARDIAN"</f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>"GUARDIAN"</f>
        <v>GUARDIAN</v>
      </c>
    </row>
    <row r="1500" spans="5:8" x14ac:dyDescent="0.25">
      <c r="E1500" t="str">
        <f>"GDF202010149552"</f>
        <v>GDF202010149552</v>
      </c>
      <c r="F1500" t="str">
        <f>"GUARDIAN"</f>
        <v>GUARDIAN</v>
      </c>
      <c r="G1500" s="1">
        <v>100.42</v>
      </c>
      <c r="H1500" t="str">
        <f>"GUARDIAN"</f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>"GUARDIAN"</f>
        <v>GUARDIAN</v>
      </c>
    </row>
    <row r="1502" spans="5:8" x14ac:dyDescent="0.25">
      <c r="E1502" t="str">
        <f>"GDS202009309111"</f>
        <v>GDS202009309111</v>
      </c>
      <c r="F1502" t="str">
        <f>"GUARDIAN"</f>
        <v>GUARDIAN</v>
      </c>
      <c r="G1502" s="1">
        <v>1861.2</v>
      </c>
      <c r="H1502" t="str">
        <f>"GUARDIAN"</f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>"GUARDIAN"</f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>"GUARDIAN"</f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>"GUARDIAN"</f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>"GUARDIAN"</f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>"GUARDIAN"</f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>"GUARDIAN"</f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>"GUARDIAN"</f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>"GUARDIAN"</f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>"GUARDIAN"</f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>"GUARDIAN"</f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>"GUARDIAN"</f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>"GUARDIAN"</f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>"GUARDIAN"</f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>"GUARDIAN"</f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>"GUARDIAN"</f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>"GUARDIAN"</f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>"GUARDIAN"</f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>"GUARDIAN"</f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>"GUARDIAN"</f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>"GUARDIAN"</f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>"GUARDIAN"</f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>"GUARDIAN"</f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>"GUARDIAN"</f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>"GUARDIAN"</f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>"GUARDIAN"</f>
        <v>GUARDIAN</v>
      </c>
    </row>
    <row r="1528" spans="5:8" x14ac:dyDescent="0.25">
      <c r="E1528" t="str">
        <f>"GDS202010149551"</f>
        <v>GDS202010149551</v>
      </c>
      <c r="F1528" t="str">
        <f>"GUARDIAN"</f>
        <v>GUARDIAN</v>
      </c>
      <c r="G1528" s="1">
        <v>1861.2</v>
      </c>
      <c r="H1528" t="str">
        <f>"GUARDIAN"</f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>"GUARDIAN"</f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>"GUARDIAN"</f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>"GUARDIAN"</f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>"GUARDIAN"</f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>"GUARDIAN"</f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>"GUARDIAN"</f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>"GUARDIAN"</f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>"GUARDIAN"</f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>"GUARDIAN"</f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>"GUARDIAN"</f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>"GUARDIAN"</f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>"GUARDIAN"</f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>"GUARDIAN"</f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>"GUARDIAN"</f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>"GUARDIAN"</f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>"GUARDIAN"</f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>"GUARDIAN"</f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>"GUARDIAN"</f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>"GUARDIAN"</f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>"GUARDIAN"</f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>"GUARDIAN"</f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>"GUARDIAN"</f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>"GUARDIAN"</f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>"GUARDIAN"</f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>"GUARDIAN"</f>
        <v>GUARDIAN</v>
      </c>
    </row>
    <row r="1554" spans="5:8" x14ac:dyDescent="0.25">
      <c r="E1554" t="str">
        <f>"GV1202009309111"</f>
        <v>GV1202009309111</v>
      </c>
      <c r="F1554" t="str">
        <f>"GUARDIAN VISION"</f>
        <v>GUARDIAN VISION</v>
      </c>
      <c r="G1554" s="1">
        <v>431.2</v>
      </c>
      <c r="H1554" t="str">
        <f>"GUARDIAN VISION"</f>
        <v>GUARDIAN VISION</v>
      </c>
    </row>
    <row r="1555" spans="5:8" x14ac:dyDescent="0.25">
      <c r="E1555" t="str">
        <f>"GV1202009309112"</f>
        <v>GV1202009309112</v>
      </c>
      <c r="F1555" t="str">
        <f>"GUARDIAN VISION"</f>
        <v>GUARDIAN VISION</v>
      </c>
      <c r="G1555" s="1">
        <v>5.6</v>
      </c>
      <c r="H1555" t="str">
        <f>"GUARDIAN VISION"</f>
        <v>GUARDIAN VISION</v>
      </c>
    </row>
    <row r="1556" spans="5:8" x14ac:dyDescent="0.25">
      <c r="E1556" t="str">
        <f>"GV1202010149551"</f>
        <v>GV1202010149551</v>
      </c>
      <c r="F1556" t="str">
        <f>"GUARDIAN VISION"</f>
        <v>GUARDIAN VISION</v>
      </c>
      <c r="G1556" s="1">
        <v>420</v>
      </c>
      <c r="H1556" t="str">
        <f>"GUARDIAN VISION"</f>
        <v>GUARDIAN VISION</v>
      </c>
    </row>
    <row r="1557" spans="5:8" x14ac:dyDescent="0.25">
      <c r="E1557" t="str">
        <f>"GV1202010149552"</f>
        <v>GV1202010149552</v>
      </c>
      <c r="F1557" t="str">
        <f>"GUARDIAN VISION"</f>
        <v>GUARDIAN VISION</v>
      </c>
      <c r="G1557" s="1">
        <v>5.6</v>
      </c>
      <c r="H1557" t="str">
        <f>"GUARDIAN VISION"</f>
        <v>GUARDIAN VISION</v>
      </c>
    </row>
    <row r="1558" spans="5:8" x14ac:dyDescent="0.25">
      <c r="E1558" t="str">
        <f>"GVE202009309111"</f>
        <v>GVE202009309111</v>
      </c>
      <c r="F1558" t="str">
        <f>"GUARDIAN VISION VENDOR"</f>
        <v>GUARDIAN VISION VENDOR</v>
      </c>
      <c r="G1558" s="1">
        <v>586.71</v>
      </c>
      <c r="H1558" t="str">
        <f>"GUARDIAN VISION VENDOR"</f>
        <v>GUARDIAN VISION VENDOR</v>
      </c>
    </row>
    <row r="1559" spans="5:8" x14ac:dyDescent="0.25">
      <c r="E1559" t="str">
        <f>"GVE202009309112"</f>
        <v>GVE202009309112</v>
      </c>
      <c r="F1559" t="str">
        <f>"GUARDIAN VISION VENDOR"</f>
        <v>GUARDIAN VISION VENDOR</v>
      </c>
      <c r="G1559" s="1">
        <v>29.52</v>
      </c>
      <c r="H1559" t="str">
        <f>"GUARDIAN VISION VENDOR"</f>
        <v>GUARDIAN VISION VENDOR</v>
      </c>
    </row>
    <row r="1560" spans="5:8" x14ac:dyDescent="0.25">
      <c r="E1560" t="str">
        <f>"GVE202010149551"</f>
        <v>GVE202010149551</v>
      </c>
      <c r="F1560" t="str">
        <f>"GUARDIAN VISION VENDOR"</f>
        <v>GUARDIAN VISION VENDOR</v>
      </c>
      <c r="G1560" s="1">
        <v>586.71</v>
      </c>
      <c r="H1560" t="str">
        <f>"GUARDIAN VISION VENDOR"</f>
        <v>GUARDIAN VISION VENDOR</v>
      </c>
    </row>
    <row r="1561" spans="5:8" x14ac:dyDescent="0.25">
      <c r="E1561" t="str">
        <f>"GVE202010149552"</f>
        <v>GVE202010149552</v>
      </c>
      <c r="F1561" t="str">
        <f>"GUARDIAN VISION VENDOR"</f>
        <v>GUARDIAN VISION VENDOR</v>
      </c>
      <c r="G1561" s="1">
        <v>29.52</v>
      </c>
      <c r="H1561" t="str">
        <f>"GUARDIAN VISION VENDOR"</f>
        <v>GUARDIAN VISION VENDOR</v>
      </c>
    </row>
    <row r="1562" spans="5:8" x14ac:dyDescent="0.25">
      <c r="E1562" t="str">
        <f>"GVF202009309111"</f>
        <v>GVF202009309111</v>
      </c>
      <c r="F1562" t="str">
        <f>"GUARDIAN VISION"</f>
        <v>GUARDIAN VISION</v>
      </c>
      <c r="G1562" s="1">
        <v>541.75</v>
      </c>
      <c r="H1562" t="str">
        <f>"GUARDIAN VISION"</f>
        <v>GUARDIAN VISION</v>
      </c>
    </row>
    <row r="1563" spans="5:8" x14ac:dyDescent="0.25">
      <c r="E1563" t="str">
        <f>"GVF202009309112"</f>
        <v>GVF202009309112</v>
      </c>
      <c r="F1563" t="str">
        <f>"GUARDIAN VISION VENDOR"</f>
        <v>GUARDIAN VISION VENDOR</v>
      </c>
      <c r="G1563" s="1">
        <v>29.55</v>
      </c>
      <c r="H1563" t="str">
        <f>"GUARDIAN VISION VENDOR"</f>
        <v>GUARDIAN VISION VENDOR</v>
      </c>
    </row>
    <row r="1564" spans="5:8" x14ac:dyDescent="0.25">
      <c r="E1564" t="str">
        <f>"GVF202010149551"</f>
        <v>GVF202010149551</v>
      </c>
      <c r="F1564" t="str">
        <f>"GUARDIAN VISION"</f>
        <v>GUARDIAN VISION</v>
      </c>
      <c r="G1564" s="1">
        <v>541.75</v>
      </c>
      <c r="H1564" t="str">
        <f>"GUARDIAN VISION"</f>
        <v>GUARDIAN VISION</v>
      </c>
    </row>
    <row r="1565" spans="5:8" x14ac:dyDescent="0.25">
      <c r="E1565" t="str">
        <f>"GVF202010149552"</f>
        <v>GVF202010149552</v>
      </c>
      <c r="F1565" t="str">
        <f>"GUARDIAN VISION VENDOR"</f>
        <v>GUARDIAN VISION VENDOR</v>
      </c>
      <c r="G1565" s="1">
        <v>29.55</v>
      </c>
      <c r="H1565" t="str">
        <f>"GUARDIAN VISION VENDOR"</f>
        <v>GUARDIAN VISION VENDOR</v>
      </c>
    </row>
    <row r="1566" spans="5:8" x14ac:dyDescent="0.25">
      <c r="E1566" t="str">
        <f>"LIA202009309111"</f>
        <v>LIA202009309111</v>
      </c>
      <c r="F1566" t="str">
        <f>"GUARDIAN"</f>
        <v>GUARDIAN</v>
      </c>
      <c r="G1566" s="1">
        <v>227.73</v>
      </c>
      <c r="H1566" t="str">
        <f>"GUARDIAN"</f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>"GUARDIAN"</f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>"GUARDIAN"</f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>"GUARDIAN"</f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>"GUARDIAN"</f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>"GUARDIAN"</f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>"GUARDIAN"</f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>"GUARDIAN"</f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>"GUARDIAN"</f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>"GUARDIAN"</f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>"GUARDIAN"</f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>"GUARDIAN"</f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>"GUARDIAN"</f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>"GUARDIAN"</f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>"GUARDIAN"</f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>"GUARDIAN"</f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>"GUARDIAN"</f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>"GUARDIAN"</f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>"GUARDIAN"</f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>"GUARDIAN"</f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>"GUARDIAN"</f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>"GUARDIAN"</f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>"GUARDIAN"</f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>"GUARDIAN"</f>
        <v>GUARDIAN</v>
      </c>
    </row>
    <row r="1590" spans="5:8" x14ac:dyDescent="0.25">
      <c r="E1590" t="str">
        <f>"LIA202009309112"</f>
        <v>LIA202009309112</v>
      </c>
      <c r="F1590" t="str">
        <f>"GUARDIAN"</f>
        <v>GUARDIAN</v>
      </c>
      <c r="G1590" s="1">
        <v>40.799999999999997</v>
      </c>
      <c r="H1590" t="str">
        <f>"GUARDIAN"</f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>"GUARDIAN"</f>
        <v>GUARDIAN</v>
      </c>
    </row>
    <row r="1592" spans="5:8" x14ac:dyDescent="0.25">
      <c r="E1592" t="str">
        <f>"LIA202010149551"</f>
        <v>LIA202010149551</v>
      </c>
      <c r="F1592" t="str">
        <f>"GUARDIAN"</f>
        <v>GUARDIAN</v>
      </c>
      <c r="G1592" s="1">
        <v>267.95999999999998</v>
      </c>
      <c r="H1592" t="str">
        <f>"GUARDIAN"</f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>"GUARDIAN"</f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>"GUARDIAN"</f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>"GUARDIAN"</f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>"GUARDIAN"</f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>"GUARDIAN"</f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>"GUARDIAN"</f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>"GUARDIAN"</f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>"GUARDIAN"</f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>"GUARDIAN"</f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>"GUARDIAN"</f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>"GUARDIAN"</f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>"GUARDIAN"</f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>"GUARDIAN"</f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>"GUARDIAN"</f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>"GUARDIAN"</f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>"GUARDIAN"</f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>"GUARDIAN"</f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>"GUARDIAN"</f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>"GUARDIAN"</f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>"GUARDIAN"</f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>"GUARDIAN"</f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>"GUARDIAN"</f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>"GUARDIAN"</f>
        <v>GUARDIAN</v>
      </c>
    </row>
    <row r="1616" spans="5:8" x14ac:dyDescent="0.25">
      <c r="E1616" t="str">
        <f>"LIA202010149552"</f>
        <v>LIA202010149552</v>
      </c>
      <c r="F1616" t="str">
        <f>"GUARDIAN"</f>
        <v>GUARDIAN</v>
      </c>
      <c r="G1616" s="1">
        <v>40.799999999999997</v>
      </c>
      <c r="H1616" t="str">
        <f>"GUARDIAN"</f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>"GUARDIAN"</f>
        <v>GUARDIAN</v>
      </c>
    </row>
    <row r="1618" spans="5:8" x14ac:dyDescent="0.25">
      <c r="E1618" t="str">
        <f>"LIC202009309111"</f>
        <v>LIC202009309111</v>
      </c>
      <c r="F1618" t="str">
        <f>"GUARDIAN"</f>
        <v>GUARDIAN</v>
      </c>
      <c r="G1618" s="1">
        <v>32.22</v>
      </c>
      <c r="H1618" t="str">
        <f>"GUARDIAN"</f>
        <v>GUARDIAN</v>
      </c>
    </row>
    <row r="1619" spans="5:8" x14ac:dyDescent="0.25">
      <c r="E1619" t="str">
        <f>"LIC202009309112"</f>
        <v>LIC202009309112</v>
      </c>
      <c r="F1619" t="str">
        <f>"GUARDIAN"</f>
        <v>GUARDIAN</v>
      </c>
      <c r="G1619" s="1">
        <v>1.05</v>
      </c>
      <c r="H1619" t="str">
        <f>"GUARDIAN"</f>
        <v>GUARDIAN</v>
      </c>
    </row>
    <row r="1620" spans="5:8" x14ac:dyDescent="0.25">
      <c r="E1620" t="str">
        <f>"LIC202010149551"</f>
        <v>LIC202010149551</v>
      </c>
      <c r="F1620" t="str">
        <f>"GUARDIAN"</f>
        <v>GUARDIAN</v>
      </c>
      <c r="G1620" s="1">
        <v>32.22</v>
      </c>
      <c r="H1620" t="str">
        <f>"GUARDIAN"</f>
        <v>GUARDIAN</v>
      </c>
    </row>
    <row r="1621" spans="5:8" x14ac:dyDescent="0.25">
      <c r="E1621" t="str">
        <f>"LIC202010149552"</f>
        <v>LIC202010149552</v>
      </c>
      <c r="F1621" t="str">
        <f>"GUARDIAN"</f>
        <v>GUARDIAN</v>
      </c>
      <c r="G1621" s="1">
        <v>1.05</v>
      </c>
      <c r="H1621" t="str">
        <f>"GUARDIAN"</f>
        <v>GUARDIAN</v>
      </c>
    </row>
    <row r="1622" spans="5:8" x14ac:dyDescent="0.25">
      <c r="E1622" t="str">
        <f>"LIE202009309111"</f>
        <v>LIE202009309111</v>
      </c>
      <c r="F1622" t="str">
        <f>"GUARDIAN"</f>
        <v>GUARDIAN</v>
      </c>
      <c r="G1622" s="1">
        <v>3929.15</v>
      </c>
      <c r="H1622" t="str">
        <f>"GUARDIAN"</f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>"GUARDIAN"</f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>"GUARDIAN"</f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>"GUARDIAN"</f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>"GUARDIAN"</f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>"GUARDIAN"</f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>"GUARDIAN"</f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>"GUARDIAN"</f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>"GUARDIAN"</f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>"GUARDIAN"</f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>"GUARDIAN"</f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>"GUARDIAN"</f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>"GUARDIAN"</f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>"GUARDIAN"</f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>"GUARDIAN"</f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>"GUARDIAN"</f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>"GUARDIAN"</f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>"GUARDIAN"</f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>"GUARDIAN"</f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>"GUARDIAN"</f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>"GUARDIAN"</f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>"GUARDIAN"</f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>"GUARDIAN"</f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>"GUARDIAN"</f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>"GUARDIAN"</f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>"GUARDIAN"</f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>"GUARDIAN"</f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>"GUARDIAN"</f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>"GUARDIAN"</f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>"GUARDIAN"</f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>"GUARDIAN"</f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>"GUARDIAN"</f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>"GUARDIAN"</f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>"GUARDIAN"</f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>"GUARDIAN"</f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>"GUARDIAN"</f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>"GUARDIAN"</f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>"GUARDIAN"</f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>"GUARDIAN"</f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>"GUARDIAN"</f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>"GUARDIAN"</f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>"GUARDIAN"</f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>"GUARDIAN"</f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>"GUARDIAN"</f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>"GUARDIAN"</f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>"GUARDIAN"</f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>"GUARDIAN"</f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>"GUARDIAN"</f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>"GUARDIAN"</f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>"GUARDIAN"</f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>"GUARDIAN"</f>
        <v>GUARDIAN</v>
      </c>
    </row>
    <row r="1673" spans="5:8" x14ac:dyDescent="0.25">
      <c r="E1673" t="str">
        <f>"LIE202009309112"</f>
        <v>LIE202009309112</v>
      </c>
      <c r="F1673" t="str">
        <f>"GUARDIAN"</f>
        <v>GUARDIAN</v>
      </c>
      <c r="G1673" s="1">
        <v>98.55</v>
      </c>
      <c r="H1673" t="str">
        <f>"GUARDIAN"</f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>"GUARDIAN"</f>
        <v>GUARDIAN</v>
      </c>
    </row>
    <row r="1675" spans="5:8" x14ac:dyDescent="0.25">
      <c r="E1675" t="str">
        <f>"LIE202010149551"</f>
        <v>LIE202010149551</v>
      </c>
      <c r="F1675" t="str">
        <f>"GUARDIAN"</f>
        <v>GUARDIAN</v>
      </c>
      <c r="G1675" s="1">
        <v>3929.15</v>
      </c>
      <c r="H1675" t="str">
        <f>"GUARDIAN"</f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>"GUARDIAN"</f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>"GUARDIAN"</f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>"GUARDIAN"</f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>"GUARDIAN"</f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>"GUARDIAN"</f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>"GUARDIAN"</f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>"GUARDIAN"</f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>"GUARDIAN"</f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>"GUARDIAN"</f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>"GUARDIAN"</f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>"GUARDIAN"</f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>"GUARDIAN"</f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>"GUARDIAN"</f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>"GUARDIAN"</f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>"GUARDIAN"</f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>"GUARDIAN"</f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>"GUARDIAN"</f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>"GUARDIAN"</f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>"GUARDIAN"</f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>"GUARDIAN"</f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>"GUARDIAN"</f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>"GUARDIAN"</f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>"GUARDIAN"</f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>"GUARDIAN"</f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>"GUARDIAN"</f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>"GUARDIAN"</f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>"GUARDIAN"</f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>"GUARDIAN"</f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>"GUARDIAN"</f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>"GUARDIAN"</f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>"GUARDIAN"</f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>"GUARDIAN"</f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>"GUARDIAN"</f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>"GUARDIAN"</f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>"GUARDIAN"</f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>"GUARDIAN"</f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>"GUARDIAN"</f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>"GUARDIAN"</f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>"GUARDIAN"</f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>"GUARDIAN"</f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>"GUARDIAN"</f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>"GUARDIAN"</f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>"GUARDIAN"</f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>"GUARDIAN"</f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>"GUARDIAN"</f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>"GUARDIAN"</f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>"GUARDIAN"</f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>"GUARDIAN"</f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>"GUARDIAN"</f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>"GUARDIAN"</f>
        <v>GUARDIAN</v>
      </c>
    </row>
    <row r="1726" spans="5:8" x14ac:dyDescent="0.25">
      <c r="E1726" t="str">
        <f>"LIE202010149552"</f>
        <v>LIE202010149552</v>
      </c>
      <c r="F1726" t="str">
        <f>"GUARDIAN"</f>
        <v>GUARDIAN</v>
      </c>
      <c r="G1726" s="1">
        <v>94.25</v>
      </c>
      <c r="H1726" t="str">
        <f>"GUARDIAN"</f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>"GUARDIAN"</f>
        <v>GUARDIAN</v>
      </c>
    </row>
    <row r="1728" spans="5:8" x14ac:dyDescent="0.25">
      <c r="E1728" t="str">
        <f>"LIS202009309111"</f>
        <v>LIS202009309111</v>
      </c>
      <c r="F1728" t="str">
        <f>"GUARDIAN"</f>
        <v>GUARDIAN</v>
      </c>
      <c r="G1728" s="1">
        <v>507.25</v>
      </c>
      <c r="H1728" t="str">
        <f>"GUARDIAN"</f>
        <v>GUARDIAN</v>
      </c>
    </row>
    <row r="1729" spans="1:8" x14ac:dyDescent="0.25">
      <c r="E1729" t="str">
        <f>"LIS202009309112"</f>
        <v>LIS202009309112</v>
      </c>
      <c r="F1729" t="str">
        <f>"GUARDIAN"</f>
        <v>GUARDIAN</v>
      </c>
      <c r="G1729" s="1">
        <v>36.15</v>
      </c>
      <c r="H1729" t="str">
        <f>"GUARDIAN"</f>
        <v>GUARDIAN</v>
      </c>
    </row>
    <row r="1730" spans="1:8" x14ac:dyDescent="0.25">
      <c r="E1730" t="str">
        <f>"LIS202010149551"</f>
        <v>LIS202010149551</v>
      </c>
      <c r="F1730" t="str">
        <f>"GUARDIAN"</f>
        <v>GUARDIAN</v>
      </c>
      <c r="G1730" s="1">
        <v>507.25</v>
      </c>
      <c r="H1730" t="str">
        <f>"GUARDIAN"</f>
        <v>GUARDIAN</v>
      </c>
    </row>
    <row r="1731" spans="1:8" x14ac:dyDescent="0.25">
      <c r="E1731" t="str">
        <f>"LIS202010149552"</f>
        <v>LIS202010149552</v>
      </c>
      <c r="F1731" t="str">
        <f>"GUARDIAN"</f>
        <v>GUARDIAN</v>
      </c>
      <c r="G1731" s="1">
        <v>36.15</v>
      </c>
      <c r="H1731" t="str">
        <f>"GUARDIAN"</f>
        <v>GUARDIAN</v>
      </c>
    </row>
    <row r="1732" spans="1:8" x14ac:dyDescent="0.25">
      <c r="E1732" t="str">
        <f>"LTD202009309111"</f>
        <v>LTD202009309111</v>
      </c>
      <c r="F1732" t="str">
        <f>"GUARDIAN"</f>
        <v>GUARDIAN</v>
      </c>
      <c r="G1732" s="1">
        <v>963.66</v>
      </c>
      <c r="H1732" t="str">
        <f>"GUARDIAN"</f>
        <v>GUARDIAN</v>
      </c>
    </row>
    <row r="1733" spans="1:8" x14ac:dyDescent="0.25">
      <c r="E1733" t="str">
        <f>"LTD202010149551"</f>
        <v>LTD202010149551</v>
      </c>
      <c r="F1733" t="str">
        <f>"GUARDIAN"</f>
        <v>GUARDIAN</v>
      </c>
      <c r="G1733" s="1">
        <v>963.66</v>
      </c>
      <c r="H1733" t="str">
        <f>"GUARDIAN"</f>
        <v>GUARDIAN</v>
      </c>
    </row>
    <row r="1734" spans="1:8" x14ac:dyDescent="0.25">
      <c r="A1734" t="s">
        <v>8</v>
      </c>
      <c r="B1734">
        <v>752</v>
      </c>
      <c r="C1734" s="1">
        <v>98.36</v>
      </c>
      <c r="D1734" s="3">
        <v>44131</v>
      </c>
      <c r="E1734" t="str">
        <f>"AEG202009309111"</f>
        <v>AEG202009309111</v>
      </c>
      <c r="F1734" t="str">
        <f>"GUARDIAN"</f>
        <v>GUARDIAN</v>
      </c>
      <c r="G1734" s="1">
        <v>6.66</v>
      </c>
      <c r="H1734" t="str">
        <f>"GUARDIAN"</f>
        <v>GUARDIAN</v>
      </c>
    </row>
    <row r="1735" spans="1:8" x14ac:dyDescent="0.25">
      <c r="E1735" t="str">
        <f>"AEG202010149551"</f>
        <v>AEG202010149551</v>
      </c>
      <c r="F1735" t="str">
        <f>"GUARDIAN"</f>
        <v>GUARDIAN</v>
      </c>
      <c r="G1735" s="1">
        <v>6.66</v>
      </c>
      <c r="H1735" t="str">
        <f>"GUARDIAN"</f>
        <v>GUARDIAN</v>
      </c>
    </row>
    <row r="1736" spans="1:8" x14ac:dyDescent="0.25">
      <c r="E1736" t="str">
        <f>"AFG202009309111"</f>
        <v>AFG202009309111</v>
      </c>
      <c r="F1736" t="str">
        <f>"GUARDIAN"</f>
        <v>GUARDIAN</v>
      </c>
      <c r="G1736" s="1">
        <v>42.52</v>
      </c>
      <c r="H1736" t="str">
        <f>"GUARDIAN"</f>
        <v>GUARDIAN</v>
      </c>
    </row>
    <row r="1737" spans="1:8" x14ac:dyDescent="0.25">
      <c r="E1737" t="str">
        <f>"AFG202010149551"</f>
        <v>AFG202010149551</v>
      </c>
      <c r="F1737" t="str">
        <f>"GUARDIAN"</f>
        <v>GUARDIAN</v>
      </c>
      <c r="G1737" s="1">
        <v>42.52</v>
      </c>
      <c r="H1737" t="str">
        <f>"GUARDIAN"</f>
        <v>GUARDIAN</v>
      </c>
    </row>
    <row r="1738" spans="1:8" x14ac:dyDescent="0.25">
      <c r="A1738" t="s">
        <v>7</v>
      </c>
      <c r="B1738">
        <v>726</v>
      </c>
      <c r="C1738" s="1">
        <v>296027.12</v>
      </c>
      <c r="D1738" s="3">
        <v>44106</v>
      </c>
      <c r="E1738" t="str">
        <f>"T1 202009309111"</f>
        <v>T1 202009309111</v>
      </c>
      <c r="F1738" t="str">
        <f>"FEDERAL WITHHOLDING"</f>
        <v>FEDERAL WITHHOLDING</v>
      </c>
      <c r="G1738" s="1">
        <v>109135.52</v>
      </c>
      <c r="H1738" t="str">
        <f>"FEDERAL WITHHOLDING"</f>
        <v>FEDERAL WITHHOLDING</v>
      </c>
    </row>
    <row r="1739" spans="1:8" x14ac:dyDescent="0.25">
      <c r="E1739" t="str">
        <f>"T1 202009309112"</f>
        <v>T1 202009309112</v>
      </c>
      <c r="F1739" t="str">
        <f>"FEDERAL WITHHOLDING"</f>
        <v>FEDERAL WITHHOLDING</v>
      </c>
      <c r="G1739" s="1">
        <v>3539.44</v>
      </c>
      <c r="H1739" t="str">
        <f>"FEDERAL WITHHOLDING"</f>
        <v>FEDERAL WITHHOLDING</v>
      </c>
    </row>
    <row r="1740" spans="1:8" x14ac:dyDescent="0.25">
      <c r="E1740" t="str">
        <f>"T1 202009309113"</f>
        <v>T1 202009309113</v>
      </c>
      <c r="F1740" t="str">
        <f>"FEDERAL WITHHOLDING"</f>
        <v>FEDERAL WITHHOLDING</v>
      </c>
      <c r="G1740" s="1">
        <v>3570.4</v>
      </c>
      <c r="H1740" t="str">
        <f>"FEDERAL WITHHOLDING"</f>
        <v>FEDERAL WITHHOLDING</v>
      </c>
    </row>
    <row r="1741" spans="1:8" x14ac:dyDescent="0.25">
      <c r="E1741" t="str">
        <f>"T3 202009309111"</f>
        <v>T3 202009309111</v>
      </c>
      <c r="F1741" t="str">
        <f>"SOCIAL SECURITY TAXES"</f>
        <v>SOCIAL SECURITY TAXES</v>
      </c>
      <c r="G1741" s="1">
        <v>136143.74</v>
      </c>
      <c r="H1741" t="str">
        <f>"SOCIAL SECURITY TAXES"</f>
        <v>SOCIAL SECURITY TAXES</v>
      </c>
    </row>
    <row r="1742" spans="1:8" x14ac:dyDescent="0.25">
      <c r="E1742" t="str">
        <f>""</f>
        <v/>
      </c>
      <c r="F1742" t="str">
        <f>""</f>
        <v/>
      </c>
      <c r="H1742" t="str">
        <f>"SOCIAL SECURITY TAXES"</f>
        <v>SOCIAL SECURITY TAXES</v>
      </c>
    </row>
    <row r="1743" spans="1:8" x14ac:dyDescent="0.25">
      <c r="E1743" t="str">
        <f>""</f>
        <v/>
      </c>
      <c r="F1743" t="str">
        <f>""</f>
        <v/>
      </c>
      <c r="H1743" t="str">
        <f>"SOCIAL SECURITY TAXES"</f>
        <v>SOCIAL SECURITY TAXES</v>
      </c>
    </row>
    <row r="1744" spans="1:8" x14ac:dyDescent="0.25">
      <c r="E1744" t="str">
        <f>""</f>
        <v/>
      </c>
      <c r="F1744" t="str">
        <f>""</f>
        <v/>
      </c>
      <c r="H1744" t="str">
        <f>"SOCIAL SECURITY TAXES"</f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>"SOCIAL SECURITY TAXES"</f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>"SOCIAL SECURITY TAXES"</f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>"SOCIAL SECURITY TAXES"</f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>"SOCIAL SECURITY TAXES"</f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>"SOCIAL SECURITY TAXES"</f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>"SOCIAL SECURITY TAXES"</f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>"SOCIAL SECURITY TAXES"</f>
        <v>SOCIAL SECURITY TAXES</v>
      </c>
    </row>
    <row r="1752" spans="5:8" x14ac:dyDescent="0.25">
      <c r="E1752" t="str">
        <f>""</f>
        <v/>
      </c>
      <c r="F1752" t="str">
        <f>""</f>
        <v/>
      </c>
      <c r="H1752" t="str">
        <f>"SOCIAL SECURITY TAXES"</f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>"SOCIAL SECURITY TAXES"</f>
        <v>SOCIAL SECURITY TAXES</v>
      </c>
    </row>
    <row r="1754" spans="5:8" x14ac:dyDescent="0.25">
      <c r="E1754" t="str">
        <f>""</f>
        <v/>
      </c>
      <c r="F1754" t="str">
        <f>""</f>
        <v/>
      </c>
      <c r="H1754" t="str">
        <f>"SOCIAL SECURITY TAXES"</f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>"SOCIAL SECURITY TAXES"</f>
        <v>SOCIAL SECURITY TAXES</v>
      </c>
    </row>
    <row r="1756" spans="5:8" x14ac:dyDescent="0.25">
      <c r="E1756" t="str">
        <f>""</f>
        <v/>
      </c>
      <c r="F1756" t="str">
        <f>""</f>
        <v/>
      </c>
      <c r="H1756" t="str">
        <f>"SOCIAL SECURITY TAXES"</f>
        <v>SOCIAL SECURITY TAXES</v>
      </c>
    </row>
    <row r="1757" spans="5:8" x14ac:dyDescent="0.25">
      <c r="E1757" t="str">
        <f>""</f>
        <v/>
      </c>
      <c r="F1757" t="str">
        <f>""</f>
        <v/>
      </c>
      <c r="H1757" t="str">
        <f>"SOCIAL SECURITY TAXES"</f>
        <v>SOCIAL SECURITY TAXES</v>
      </c>
    </row>
    <row r="1758" spans="5:8" x14ac:dyDescent="0.25">
      <c r="E1758" t="str">
        <f>""</f>
        <v/>
      </c>
      <c r="F1758" t="str">
        <f>""</f>
        <v/>
      </c>
      <c r="H1758" t="str">
        <f>"SOCIAL SECURITY TAXES"</f>
        <v>SOCIAL SECURITY TAXES</v>
      </c>
    </row>
    <row r="1759" spans="5:8" x14ac:dyDescent="0.25">
      <c r="E1759" t="str">
        <f>""</f>
        <v/>
      </c>
      <c r="F1759" t="str">
        <f>""</f>
        <v/>
      </c>
      <c r="H1759" t="str">
        <f>"SOCIAL SECURITY TAXES"</f>
        <v>SOCIAL SECURITY TAXES</v>
      </c>
    </row>
    <row r="1760" spans="5:8" x14ac:dyDescent="0.25">
      <c r="E1760" t="str">
        <f>""</f>
        <v/>
      </c>
      <c r="F1760" t="str">
        <f>""</f>
        <v/>
      </c>
      <c r="H1760" t="str">
        <f>"SOCIAL SECURITY TAXES"</f>
        <v>SOCIAL SECURITY TAXES</v>
      </c>
    </row>
    <row r="1761" spans="5:8" x14ac:dyDescent="0.25">
      <c r="E1761" t="str">
        <f>""</f>
        <v/>
      </c>
      <c r="F1761" t="str">
        <f>""</f>
        <v/>
      </c>
      <c r="H1761" t="str">
        <f>"SOCIAL SECURITY TAXES"</f>
        <v>SOCIAL SECURITY TAXES</v>
      </c>
    </row>
    <row r="1762" spans="5:8" x14ac:dyDescent="0.25">
      <c r="E1762" t="str">
        <f>""</f>
        <v/>
      </c>
      <c r="F1762" t="str">
        <f>""</f>
        <v/>
      </c>
      <c r="H1762" t="str">
        <f>"SOCIAL SECURITY TAXES"</f>
        <v>SOCIAL SECURITY TAXES</v>
      </c>
    </row>
    <row r="1763" spans="5:8" x14ac:dyDescent="0.25">
      <c r="E1763" t="str">
        <f>""</f>
        <v/>
      </c>
      <c r="F1763" t="str">
        <f>""</f>
        <v/>
      </c>
      <c r="H1763" t="str">
        <f>"SOCIAL SECURITY TAXES"</f>
        <v>SOCIAL SECURITY TAXES</v>
      </c>
    </row>
    <row r="1764" spans="5:8" x14ac:dyDescent="0.25">
      <c r="E1764" t="str">
        <f>""</f>
        <v/>
      </c>
      <c r="F1764" t="str">
        <f>""</f>
        <v/>
      </c>
      <c r="H1764" t="str">
        <f>"SOCIAL SECURITY TAXES"</f>
        <v>SOCIAL SECURITY TAXES</v>
      </c>
    </row>
    <row r="1765" spans="5:8" x14ac:dyDescent="0.25">
      <c r="E1765" t="str">
        <f>""</f>
        <v/>
      </c>
      <c r="F1765" t="str">
        <f>""</f>
        <v/>
      </c>
      <c r="H1765" t="str">
        <f>"SOCIAL SECURITY TAXES"</f>
        <v>SOCIAL SECURITY TAXES</v>
      </c>
    </row>
    <row r="1766" spans="5:8" x14ac:dyDescent="0.25">
      <c r="E1766" t="str">
        <f>""</f>
        <v/>
      </c>
      <c r="F1766" t="str">
        <f>""</f>
        <v/>
      </c>
      <c r="H1766" t="str">
        <f>"SOCIAL SECURITY TAXES"</f>
        <v>SOCIAL SECURITY TAXES</v>
      </c>
    </row>
    <row r="1767" spans="5:8" x14ac:dyDescent="0.25">
      <c r="E1767" t="str">
        <f>""</f>
        <v/>
      </c>
      <c r="F1767" t="str">
        <f>""</f>
        <v/>
      </c>
      <c r="H1767" t="str">
        <f>"SOCIAL SECURITY TAXES"</f>
        <v>SOCIAL SECURITY TAXES</v>
      </c>
    </row>
    <row r="1768" spans="5:8" x14ac:dyDescent="0.25">
      <c r="E1768" t="str">
        <f>""</f>
        <v/>
      </c>
      <c r="F1768" t="str">
        <f>""</f>
        <v/>
      </c>
      <c r="H1768" t="str">
        <f>"SOCIAL SECURITY TAXES"</f>
        <v>SOCIAL SECURITY TAXES</v>
      </c>
    </row>
    <row r="1769" spans="5:8" x14ac:dyDescent="0.25">
      <c r="E1769" t="str">
        <f>""</f>
        <v/>
      </c>
      <c r="F1769" t="str">
        <f>""</f>
        <v/>
      </c>
      <c r="H1769" t="str">
        <f>"SOCIAL SECURITY TAXES"</f>
        <v>SOCIAL SECURITY TAXES</v>
      </c>
    </row>
    <row r="1770" spans="5:8" x14ac:dyDescent="0.25">
      <c r="E1770" t="str">
        <f>""</f>
        <v/>
      </c>
      <c r="F1770" t="str">
        <f>""</f>
        <v/>
      </c>
      <c r="H1770" t="str">
        <f>"SOCIAL SECURITY TAXES"</f>
        <v>SOCIAL SECURITY TAXES</v>
      </c>
    </row>
    <row r="1771" spans="5:8" x14ac:dyDescent="0.25">
      <c r="E1771" t="str">
        <f>""</f>
        <v/>
      </c>
      <c r="F1771" t="str">
        <f>""</f>
        <v/>
      </c>
      <c r="H1771" t="str">
        <f>"SOCIAL SECURITY TAXES"</f>
        <v>SOCIAL SECURITY TAXES</v>
      </c>
    </row>
    <row r="1772" spans="5:8" x14ac:dyDescent="0.25">
      <c r="E1772" t="str">
        <f>""</f>
        <v/>
      </c>
      <c r="F1772" t="str">
        <f>""</f>
        <v/>
      </c>
      <c r="H1772" t="str">
        <f>"SOCIAL SECURITY TAXES"</f>
        <v>SOCIAL SECURITY TAXES</v>
      </c>
    </row>
    <row r="1773" spans="5:8" x14ac:dyDescent="0.25">
      <c r="E1773" t="str">
        <f>""</f>
        <v/>
      </c>
      <c r="F1773" t="str">
        <f>""</f>
        <v/>
      </c>
      <c r="H1773" t="str">
        <f>"SOCIAL SECURITY TAXES"</f>
        <v>SOCIAL SECURITY TAXES</v>
      </c>
    </row>
    <row r="1774" spans="5:8" x14ac:dyDescent="0.25">
      <c r="E1774" t="str">
        <f>""</f>
        <v/>
      </c>
      <c r="F1774" t="str">
        <f>""</f>
        <v/>
      </c>
      <c r="H1774" t="str">
        <f>"SOCIAL SECURITY TAXES"</f>
        <v>SOCIAL SECURITY TAXES</v>
      </c>
    </row>
    <row r="1775" spans="5:8" x14ac:dyDescent="0.25">
      <c r="E1775" t="str">
        <f>""</f>
        <v/>
      </c>
      <c r="F1775" t="str">
        <f>""</f>
        <v/>
      </c>
      <c r="H1775" t="str">
        <f>"SOCIAL SECURITY TAXES"</f>
        <v>SOCIAL SECURITY TAXES</v>
      </c>
    </row>
    <row r="1776" spans="5:8" x14ac:dyDescent="0.25">
      <c r="E1776" t="str">
        <f>""</f>
        <v/>
      </c>
      <c r="F1776" t="str">
        <f>""</f>
        <v/>
      </c>
      <c r="H1776" t="str">
        <f>"SOCIAL SECURITY TAXES"</f>
        <v>SOCIAL SECURITY TAXES</v>
      </c>
    </row>
    <row r="1777" spans="5:8" x14ac:dyDescent="0.25">
      <c r="E1777" t="str">
        <f>""</f>
        <v/>
      </c>
      <c r="F1777" t="str">
        <f>""</f>
        <v/>
      </c>
      <c r="H1777" t="str">
        <f>"SOCIAL SECURITY TAXES"</f>
        <v>SOCIAL SECURITY TAXES</v>
      </c>
    </row>
    <row r="1778" spans="5:8" x14ac:dyDescent="0.25">
      <c r="E1778" t="str">
        <f>""</f>
        <v/>
      </c>
      <c r="F1778" t="str">
        <f>""</f>
        <v/>
      </c>
      <c r="H1778" t="str">
        <f>"SOCIAL SECURITY TAXES"</f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>"SOCIAL SECURITY TAXES"</f>
        <v>SOCIAL SECURITY TAXES</v>
      </c>
    </row>
    <row r="1780" spans="5:8" x14ac:dyDescent="0.25">
      <c r="E1780" t="str">
        <f>""</f>
        <v/>
      </c>
      <c r="F1780" t="str">
        <f>""</f>
        <v/>
      </c>
      <c r="H1780" t="str">
        <f>"SOCIAL SECURITY TAXES"</f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>"SOCIAL SECURITY TAXES"</f>
        <v>SOCIAL SECURITY TAXES</v>
      </c>
    </row>
    <row r="1782" spans="5:8" x14ac:dyDescent="0.25">
      <c r="E1782" t="str">
        <f>""</f>
        <v/>
      </c>
      <c r="F1782" t="str">
        <f>""</f>
        <v/>
      </c>
      <c r="H1782" t="str">
        <f>"SOCIAL SECURITY TAXES"</f>
        <v>SOCIAL SECURITY TAXES</v>
      </c>
    </row>
    <row r="1783" spans="5:8" x14ac:dyDescent="0.25">
      <c r="E1783" t="str">
        <f>""</f>
        <v/>
      </c>
      <c r="F1783" t="str">
        <f>""</f>
        <v/>
      </c>
      <c r="H1783" t="str">
        <f>"SOCIAL SECURITY TAXES"</f>
        <v>SOCIAL SECURITY TAXES</v>
      </c>
    </row>
    <row r="1784" spans="5:8" x14ac:dyDescent="0.25">
      <c r="E1784" t="str">
        <f>""</f>
        <v/>
      </c>
      <c r="F1784" t="str">
        <f>""</f>
        <v/>
      </c>
      <c r="H1784" t="str">
        <f>"SOCIAL SECURITY TAXES"</f>
        <v>SOCIAL SECURITY TAXES</v>
      </c>
    </row>
    <row r="1785" spans="5:8" x14ac:dyDescent="0.25">
      <c r="E1785" t="str">
        <f>""</f>
        <v/>
      </c>
      <c r="F1785" t="str">
        <f>""</f>
        <v/>
      </c>
      <c r="H1785" t="str">
        <f>"SOCIAL SECURITY TAXES"</f>
        <v>SOCIAL SECURITY TAXES</v>
      </c>
    </row>
    <row r="1786" spans="5:8" x14ac:dyDescent="0.25">
      <c r="E1786" t="str">
        <f>""</f>
        <v/>
      </c>
      <c r="F1786" t="str">
        <f>""</f>
        <v/>
      </c>
      <c r="H1786" t="str">
        <f>"SOCIAL SECURITY TAXES"</f>
        <v>SOCIAL SECURITY TAXES</v>
      </c>
    </row>
    <row r="1787" spans="5:8" x14ac:dyDescent="0.25">
      <c r="E1787" t="str">
        <f>""</f>
        <v/>
      </c>
      <c r="F1787" t="str">
        <f>""</f>
        <v/>
      </c>
      <c r="H1787" t="str">
        <f>"SOCIAL SECURITY TAXES"</f>
        <v>SOCIAL SECURITY TAXES</v>
      </c>
    </row>
    <row r="1788" spans="5:8" x14ac:dyDescent="0.25">
      <c r="E1788" t="str">
        <f>""</f>
        <v/>
      </c>
      <c r="F1788" t="str">
        <f>""</f>
        <v/>
      </c>
      <c r="H1788" t="str">
        <f>"SOCIAL SECURITY TAXES"</f>
        <v>SOCIAL SECURITY TAXES</v>
      </c>
    </row>
    <row r="1789" spans="5:8" x14ac:dyDescent="0.25">
      <c r="E1789" t="str">
        <f>""</f>
        <v/>
      </c>
      <c r="F1789" t="str">
        <f>""</f>
        <v/>
      </c>
      <c r="H1789" t="str">
        <f>"SOCIAL SECURITY TAXES"</f>
        <v>SOCIAL SECURITY TAXES</v>
      </c>
    </row>
    <row r="1790" spans="5:8" x14ac:dyDescent="0.25">
      <c r="E1790" t="str">
        <f>""</f>
        <v/>
      </c>
      <c r="F1790" t="str">
        <f>""</f>
        <v/>
      </c>
      <c r="H1790" t="str">
        <f>"SOCIAL SECURITY TAXES"</f>
        <v>SOCIAL SECURITY TAXES</v>
      </c>
    </row>
    <row r="1791" spans="5:8" x14ac:dyDescent="0.25">
      <c r="E1791" t="str">
        <f>""</f>
        <v/>
      </c>
      <c r="F1791" t="str">
        <f>""</f>
        <v/>
      </c>
      <c r="H1791" t="str">
        <f>"SOCIAL SECURITY TAXES"</f>
        <v>SOCIAL SECURITY TAXES</v>
      </c>
    </row>
    <row r="1792" spans="5:8" x14ac:dyDescent="0.25">
      <c r="E1792" t="str">
        <f>""</f>
        <v/>
      </c>
      <c r="F1792" t="str">
        <f>""</f>
        <v/>
      </c>
      <c r="H1792" t="str">
        <f>"SOCIAL SECURITY TAXES"</f>
        <v>SOCIAL SECURITY TAXES</v>
      </c>
    </row>
    <row r="1793" spans="5:8" x14ac:dyDescent="0.25">
      <c r="E1793" t="str">
        <f>""</f>
        <v/>
      </c>
      <c r="F1793" t="str">
        <f>""</f>
        <v/>
      </c>
      <c r="H1793" t="str">
        <f>"SOCIAL SECURITY TAXES"</f>
        <v>SOCIAL SECURITY TAXES</v>
      </c>
    </row>
    <row r="1794" spans="5:8" x14ac:dyDescent="0.25">
      <c r="E1794" t="str">
        <f>"T3 202009309112"</f>
        <v>T3 202009309112</v>
      </c>
      <c r="F1794" t="str">
        <f>"SOCIAL SECURITY TAXES"</f>
        <v>SOCIAL SECURITY TAXES</v>
      </c>
      <c r="G1794" s="1">
        <v>4528.24</v>
      </c>
      <c r="H1794" t="str">
        <f>"SOCIAL SECURITY TAXES"</f>
        <v>SOCIAL SECURITY TAXES</v>
      </c>
    </row>
    <row r="1795" spans="5:8" x14ac:dyDescent="0.25">
      <c r="E1795" t="str">
        <f>""</f>
        <v/>
      </c>
      <c r="F1795" t="str">
        <f>""</f>
        <v/>
      </c>
      <c r="H1795" t="str">
        <f>"SOCIAL SECURITY TAXES"</f>
        <v>SOCIAL SECURITY TAXES</v>
      </c>
    </row>
    <row r="1796" spans="5:8" x14ac:dyDescent="0.25">
      <c r="E1796" t="str">
        <f>"T3 202009309113"</f>
        <v>T3 202009309113</v>
      </c>
      <c r="F1796" t="str">
        <f>"SOCIAL SECURITY TAXES"</f>
        <v>SOCIAL SECURITY TAXES</v>
      </c>
      <c r="G1796" s="1">
        <v>5033.4799999999996</v>
      </c>
      <c r="H1796" t="str">
        <f>"SOCIAL SECURITY TAXES"</f>
        <v>SOCIAL SECURITY TAXES</v>
      </c>
    </row>
    <row r="1797" spans="5:8" x14ac:dyDescent="0.25">
      <c r="E1797" t="str">
        <f>""</f>
        <v/>
      </c>
      <c r="F1797" t="str">
        <f>""</f>
        <v/>
      </c>
      <c r="H1797" t="str">
        <f>"SOCIAL SECURITY TAXES"</f>
        <v>SOCIAL SECURITY TAXES</v>
      </c>
    </row>
    <row r="1798" spans="5:8" x14ac:dyDescent="0.25">
      <c r="E1798" t="str">
        <f>"T4 202009309111"</f>
        <v>T4 202009309111</v>
      </c>
      <c r="F1798" t="str">
        <f>"MEDICARE TAXES"</f>
        <v>MEDICARE TAXES</v>
      </c>
      <c r="G1798" s="1">
        <v>31840</v>
      </c>
      <c r="H1798" t="str">
        <f>"MEDICARE TAXES"</f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>"MEDICARE TAXES"</f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>"MEDICARE TAXES"</f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>"MEDICARE TAXES"</f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>"MEDICARE TAXES"</f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>"MEDICARE TAXES"</f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>"MEDICARE TAXES"</f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>"MEDICARE TAXES"</f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>"MEDICARE TAXES"</f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>"MEDICARE TAXES"</f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>"MEDICARE TAXES"</f>
        <v>MEDICARE TAXES</v>
      </c>
    </row>
    <row r="1809" spans="5:8" x14ac:dyDescent="0.25">
      <c r="E1809" t="str">
        <f>""</f>
        <v/>
      </c>
      <c r="F1809" t="str">
        <f>""</f>
        <v/>
      </c>
      <c r="H1809" t="str">
        <f>"MEDICARE TAXES"</f>
        <v>MEDICARE TAXES</v>
      </c>
    </row>
    <row r="1810" spans="5:8" x14ac:dyDescent="0.25">
      <c r="E1810" t="str">
        <f>""</f>
        <v/>
      </c>
      <c r="F1810" t="str">
        <f>""</f>
        <v/>
      </c>
      <c r="H1810" t="str">
        <f>"MEDICARE TAXES"</f>
        <v>MEDICARE TAXES</v>
      </c>
    </row>
    <row r="1811" spans="5:8" x14ac:dyDescent="0.25">
      <c r="E1811" t="str">
        <f>""</f>
        <v/>
      </c>
      <c r="F1811" t="str">
        <f>""</f>
        <v/>
      </c>
      <c r="H1811" t="str">
        <f>"MEDICARE TAXES"</f>
        <v>MEDICARE TAXES</v>
      </c>
    </row>
    <row r="1812" spans="5:8" x14ac:dyDescent="0.25">
      <c r="E1812" t="str">
        <f>""</f>
        <v/>
      </c>
      <c r="F1812" t="str">
        <f>""</f>
        <v/>
      </c>
      <c r="H1812" t="str">
        <f>"MEDICARE TAXES"</f>
        <v>MEDICARE TAXES</v>
      </c>
    </row>
    <row r="1813" spans="5:8" x14ac:dyDescent="0.25">
      <c r="E1813" t="str">
        <f>""</f>
        <v/>
      </c>
      <c r="F1813" t="str">
        <f>""</f>
        <v/>
      </c>
      <c r="H1813" t="str">
        <f>"MEDICARE TAXES"</f>
        <v>MEDICARE TAXES</v>
      </c>
    </row>
    <row r="1814" spans="5:8" x14ac:dyDescent="0.25">
      <c r="E1814" t="str">
        <f>""</f>
        <v/>
      </c>
      <c r="F1814" t="str">
        <f>""</f>
        <v/>
      </c>
      <c r="H1814" t="str">
        <f>"MEDICARE TAXES"</f>
        <v>MEDICARE TAXES</v>
      </c>
    </row>
    <row r="1815" spans="5:8" x14ac:dyDescent="0.25">
      <c r="E1815" t="str">
        <f>""</f>
        <v/>
      </c>
      <c r="F1815" t="str">
        <f>""</f>
        <v/>
      </c>
      <c r="H1815" t="str">
        <f>"MEDICARE TAXES"</f>
        <v>MEDICARE TAXES</v>
      </c>
    </row>
    <row r="1816" spans="5:8" x14ac:dyDescent="0.25">
      <c r="E1816" t="str">
        <f>""</f>
        <v/>
      </c>
      <c r="F1816" t="str">
        <f>""</f>
        <v/>
      </c>
      <c r="H1816" t="str">
        <f>"MEDICARE TAXES"</f>
        <v>MEDICARE TAXES</v>
      </c>
    </row>
    <row r="1817" spans="5:8" x14ac:dyDescent="0.25">
      <c r="E1817" t="str">
        <f>""</f>
        <v/>
      </c>
      <c r="F1817" t="str">
        <f>""</f>
        <v/>
      </c>
      <c r="H1817" t="str">
        <f>"MEDICARE TAXES"</f>
        <v>MEDICARE TAXES</v>
      </c>
    </row>
    <row r="1818" spans="5:8" x14ac:dyDescent="0.25">
      <c r="E1818" t="str">
        <f>""</f>
        <v/>
      </c>
      <c r="F1818" t="str">
        <f>""</f>
        <v/>
      </c>
      <c r="H1818" t="str">
        <f>"MEDICARE TAXES"</f>
        <v>MEDICARE TAXES</v>
      </c>
    </row>
    <row r="1819" spans="5:8" x14ac:dyDescent="0.25">
      <c r="E1819" t="str">
        <f>""</f>
        <v/>
      </c>
      <c r="F1819" t="str">
        <f>""</f>
        <v/>
      </c>
      <c r="H1819" t="str">
        <f>"MEDICARE TAXES"</f>
        <v>MEDICARE TAXES</v>
      </c>
    </row>
    <row r="1820" spans="5:8" x14ac:dyDescent="0.25">
      <c r="E1820" t="str">
        <f>""</f>
        <v/>
      </c>
      <c r="F1820" t="str">
        <f>""</f>
        <v/>
      </c>
      <c r="H1820" t="str">
        <f>"MEDICARE TAXES"</f>
        <v>MEDICARE TAXES</v>
      </c>
    </row>
    <row r="1821" spans="5:8" x14ac:dyDescent="0.25">
      <c r="E1821" t="str">
        <f>""</f>
        <v/>
      </c>
      <c r="F1821" t="str">
        <f>""</f>
        <v/>
      </c>
      <c r="H1821" t="str">
        <f>"MEDICARE TAXES"</f>
        <v>MEDICARE TAXES</v>
      </c>
    </row>
    <row r="1822" spans="5:8" x14ac:dyDescent="0.25">
      <c r="E1822" t="str">
        <f>""</f>
        <v/>
      </c>
      <c r="F1822" t="str">
        <f>""</f>
        <v/>
      </c>
      <c r="H1822" t="str">
        <f>"MEDICARE TAXES"</f>
        <v>MEDICARE TAXES</v>
      </c>
    </row>
    <row r="1823" spans="5:8" x14ac:dyDescent="0.25">
      <c r="E1823" t="str">
        <f>""</f>
        <v/>
      </c>
      <c r="F1823" t="str">
        <f>""</f>
        <v/>
      </c>
      <c r="H1823" t="str">
        <f>"MEDICARE TAXES"</f>
        <v>MEDICARE TAXES</v>
      </c>
    </row>
    <row r="1824" spans="5:8" x14ac:dyDescent="0.25">
      <c r="E1824" t="str">
        <f>""</f>
        <v/>
      </c>
      <c r="F1824" t="str">
        <f>""</f>
        <v/>
      </c>
      <c r="H1824" t="str">
        <f>"MEDICARE TAXES"</f>
        <v>MEDICARE TAXES</v>
      </c>
    </row>
    <row r="1825" spans="5:8" x14ac:dyDescent="0.25">
      <c r="E1825" t="str">
        <f>""</f>
        <v/>
      </c>
      <c r="F1825" t="str">
        <f>""</f>
        <v/>
      </c>
      <c r="H1825" t="str">
        <f>"MEDICARE TAXES"</f>
        <v>MEDICARE TAXES</v>
      </c>
    </row>
    <row r="1826" spans="5:8" x14ac:dyDescent="0.25">
      <c r="E1826" t="str">
        <f>""</f>
        <v/>
      </c>
      <c r="F1826" t="str">
        <f>""</f>
        <v/>
      </c>
      <c r="H1826" t="str">
        <f>"MEDICARE TAXES"</f>
        <v>MEDICARE TAXES</v>
      </c>
    </row>
    <row r="1827" spans="5:8" x14ac:dyDescent="0.25">
      <c r="E1827" t="str">
        <f>""</f>
        <v/>
      </c>
      <c r="F1827" t="str">
        <f>""</f>
        <v/>
      </c>
      <c r="H1827" t="str">
        <f>"MEDICARE TAXES"</f>
        <v>MEDICARE TAXES</v>
      </c>
    </row>
    <row r="1828" spans="5:8" x14ac:dyDescent="0.25">
      <c r="E1828" t="str">
        <f>""</f>
        <v/>
      </c>
      <c r="F1828" t="str">
        <f>""</f>
        <v/>
      </c>
      <c r="H1828" t="str">
        <f>"MEDICARE TAXES"</f>
        <v>MEDICARE TAXES</v>
      </c>
    </row>
    <row r="1829" spans="5:8" x14ac:dyDescent="0.25">
      <c r="E1829" t="str">
        <f>""</f>
        <v/>
      </c>
      <c r="F1829" t="str">
        <f>""</f>
        <v/>
      </c>
      <c r="H1829" t="str">
        <f>"MEDICARE TAXES"</f>
        <v>MEDICARE TAXES</v>
      </c>
    </row>
    <row r="1830" spans="5:8" x14ac:dyDescent="0.25">
      <c r="E1830" t="str">
        <f>""</f>
        <v/>
      </c>
      <c r="F1830" t="str">
        <f>""</f>
        <v/>
      </c>
      <c r="H1830" t="str">
        <f>"MEDICARE TAXES"</f>
        <v>MEDICARE TAXES</v>
      </c>
    </row>
    <row r="1831" spans="5:8" x14ac:dyDescent="0.25">
      <c r="E1831" t="str">
        <f>""</f>
        <v/>
      </c>
      <c r="F1831" t="str">
        <f>""</f>
        <v/>
      </c>
      <c r="H1831" t="str">
        <f>"MEDICARE TAXES"</f>
        <v>MEDICARE TAXES</v>
      </c>
    </row>
    <row r="1832" spans="5:8" x14ac:dyDescent="0.25">
      <c r="E1832" t="str">
        <f>""</f>
        <v/>
      </c>
      <c r="F1832" t="str">
        <f>""</f>
        <v/>
      </c>
      <c r="H1832" t="str">
        <f>"MEDICARE TAXES"</f>
        <v>MEDICARE TAXES</v>
      </c>
    </row>
    <row r="1833" spans="5:8" x14ac:dyDescent="0.25">
      <c r="E1833" t="str">
        <f>""</f>
        <v/>
      </c>
      <c r="F1833" t="str">
        <f>""</f>
        <v/>
      </c>
      <c r="H1833" t="str">
        <f>"MEDICARE TAXES"</f>
        <v>MEDICARE TAXES</v>
      </c>
    </row>
    <row r="1834" spans="5:8" x14ac:dyDescent="0.25">
      <c r="E1834" t="str">
        <f>""</f>
        <v/>
      </c>
      <c r="F1834" t="str">
        <f>""</f>
        <v/>
      </c>
      <c r="H1834" t="str">
        <f>"MEDICARE TAXES"</f>
        <v>MEDICARE TAXES</v>
      </c>
    </row>
    <row r="1835" spans="5:8" x14ac:dyDescent="0.25">
      <c r="E1835" t="str">
        <f>""</f>
        <v/>
      </c>
      <c r="F1835" t="str">
        <f>""</f>
        <v/>
      </c>
      <c r="H1835" t="str">
        <f>"MEDICARE TAXES"</f>
        <v>MEDICARE TAXES</v>
      </c>
    </row>
    <row r="1836" spans="5:8" x14ac:dyDescent="0.25">
      <c r="E1836" t="str">
        <f>""</f>
        <v/>
      </c>
      <c r="F1836" t="str">
        <f>""</f>
        <v/>
      </c>
      <c r="H1836" t="str">
        <f>"MEDICARE TAXES"</f>
        <v>MEDICARE TAXES</v>
      </c>
    </row>
    <row r="1837" spans="5:8" x14ac:dyDescent="0.25">
      <c r="E1837" t="str">
        <f>""</f>
        <v/>
      </c>
      <c r="F1837" t="str">
        <f>""</f>
        <v/>
      </c>
      <c r="H1837" t="str">
        <f>"MEDICARE TAXES"</f>
        <v>MEDICARE TAXES</v>
      </c>
    </row>
    <row r="1838" spans="5:8" x14ac:dyDescent="0.25">
      <c r="E1838" t="str">
        <f>""</f>
        <v/>
      </c>
      <c r="F1838" t="str">
        <f>""</f>
        <v/>
      </c>
      <c r="H1838" t="str">
        <f>"MEDICARE TAXES"</f>
        <v>MEDICARE TAXES</v>
      </c>
    </row>
    <row r="1839" spans="5:8" x14ac:dyDescent="0.25">
      <c r="E1839" t="str">
        <f>""</f>
        <v/>
      </c>
      <c r="F1839" t="str">
        <f>""</f>
        <v/>
      </c>
      <c r="H1839" t="str">
        <f>"MEDICARE TAXES"</f>
        <v>MEDICARE TAXES</v>
      </c>
    </row>
    <row r="1840" spans="5:8" x14ac:dyDescent="0.25">
      <c r="E1840" t="str">
        <f>""</f>
        <v/>
      </c>
      <c r="F1840" t="str">
        <f>""</f>
        <v/>
      </c>
      <c r="H1840" t="str">
        <f>"MEDICARE TAXES"</f>
        <v>MEDICARE TAXES</v>
      </c>
    </row>
    <row r="1841" spans="1:8" x14ac:dyDescent="0.25">
      <c r="E1841" t="str">
        <f>""</f>
        <v/>
      </c>
      <c r="F1841" t="str">
        <f>""</f>
        <v/>
      </c>
      <c r="H1841" t="str">
        <f>"MEDICARE TAXES"</f>
        <v>MEDICARE TAXES</v>
      </c>
    </row>
    <row r="1842" spans="1:8" x14ac:dyDescent="0.25">
      <c r="E1842" t="str">
        <f>""</f>
        <v/>
      </c>
      <c r="F1842" t="str">
        <f>""</f>
        <v/>
      </c>
      <c r="H1842" t="str">
        <f>"MEDICARE TAXES"</f>
        <v>MEDICARE TAXES</v>
      </c>
    </row>
    <row r="1843" spans="1:8" x14ac:dyDescent="0.25">
      <c r="E1843" t="str">
        <f>""</f>
        <v/>
      </c>
      <c r="F1843" t="str">
        <f>""</f>
        <v/>
      </c>
      <c r="H1843" t="str">
        <f>"MEDICARE TAXES"</f>
        <v>MEDICARE TAXES</v>
      </c>
    </row>
    <row r="1844" spans="1:8" x14ac:dyDescent="0.25">
      <c r="E1844" t="str">
        <f>""</f>
        <v/>
      </c>
      <c r="F1844" t="str">
        <f>""</f>
        <v/>
      </c>
      <c r="H1844" t="str">
        <f>"MEDICARE TAXES"</f>
        <v>MEDICARE TAXES</v>
      </c>
    </row>
    <row r="1845" spans="1:8" x14ac:dyDescent="0.25">
      <c r="E1845" t="str">
        <f>""</f>
        <v/>
      </c>
      <c r="F1845" t="str">
        <f>""</f>
        <v/>
      </c>
      <c r="H1845" t="str">
        <f>"MEDICARE TAXES"</f>
        <v>MEDICARE TAXES</v>
      </c>
    </row>
    <row r="1846" spans="1:8" x14ac:dyDescent="0.25">
      <c r="E1846" t="str">
        <f>""</f>
        <v/>
      </c>
      <c r="F1846" t="str">
        <f>""</f>
        <v/>
      </c>
      <c r="H1846" t="str">
        <f>"MEDICARE TAXES"</f>
        <v>MEDICARE TAXES</v>
      </c>
    </row>
    <row r="1847" spans="1:8" x14ac:dyDescent="0.25">
      <c r="E1847" t="str">
        <f>""</f>
        <v/>
      </c>
      <c r="F1847" t="str">
        <f>""</f>
        <v/>
      </c>
      <c r="H1847" t="str">
        <f>"MEDICARE TAXES"</f>
        <v>MEDICARE TAXES</v>
      </c>
    </row>
    <row r="1848" spans="1:8" x14ac:dyDescent="0.25">
      <c r="E1848" t="str">
        <f>""</f>
        <v/>
      </c>
      <c r="F1848" t="str">
        <f>""</f>
        <v/>
      </c>
      <c r="H1848" t="str">
        <f>"MEDICARE TAXES"</f>
        <v>MEDICARE TAXES</v>
      </c>
    </row>
    <row r="1849" spans="1:8" x14ac:dyDescent="0.25">
      <c r="E1849" t="str">
        <f>""</f>
        <v/>
      </c>
      <c r="F1849" t="str">
        <f>""</f>
        <v/>
      </c>
      <c r="H1849" t="str">
        <f>"MEDICARE TAXES"</f>
        <v>MEDICARE TAXES</v>
      </c>
    </row>
    <row r="1850" spans="1:8" x14ac:dyDescent="0.25">
      <c r="E1850" t="str">
        <f>""</f>
        <v/>
      </c>
      <c r="F1850" t="str">
        <f>""</f>
        <v/>
      </c>
      <c r="H1850" t="str">
        <f>"MEDICARE TAXES"</f>
        <v>MEDICARE TAXES</v>
      </c>
    </row>
    <row r="1851" spans="1:8" x14ac:dyDescent="0.25">
      <c r="E1851" t="str">
        <f>"T4 202009309112"</f>
        <v>T4 202009309112</v>
      </c>
      <c r="F1851" t="str">
        <f>"MEDICARE TAXES"</f>
        <v>MEDICARE TAXES</v>
      </c>
      <c r="G1851" s="1">
        <v>1059.08</v>
      </c>
      <c r="H1851" t="str">
        <f>"MEDICARE TAXES"</f>
        <v>MEDICARE TAXES</v>
      </c>
    </row>
    <row r="1852" spans="1:8" x14ac:dyDescent="0.25">
      <c r="E1852" t="str">
        <f>""</f>
        <v/>
      </c>
      <c r="F1852" t="str">
        <f>""</f>
        <v/>
      </c>
      <c r="H1852" t="str">
        <f>"MEDICARE TAXES"</f>
        <v>MEDICARE TAXES</v>
      </c>
    </row>
    <row r="1853" spans="1:8" x14ac:dyDescent="0.25">
      <c r="E1853" t="str">
        <f>"T4 202009309113"</f>
        <v>T4 202009309113</v>
      </c>
      <c r="F1853" t="str">
        <f>"MEDICARE TAXES"</f>
        <v>MEDICARE TAXES</v>
      </c>
      <c r="G1853" s="1">
        <v>1177.22</v>
      </c>
      <c r="H1853" t="str">
        <f>"MEDICARE TAXES"</f>
        <v>MEDICARE TAXES</v>
      </c>
    </row>
    <row r="1854" spans="1:8" x14ac:dyDescent="0.25">
      <c r="E1854" t="str">
        <f>""</f>
        <v/>
      </c>
      <c r="F1854" t="str">
        <f>""</f>
        <v/>
      </c>
      <c r="H1854" t="str">
        <f>"MEDICARE TAXES"</f>
        <v>MEDICARE TAXES</v>
      </c>
    </row>
    <row r="1855" spans="1:8" x14ac:dyDescent="0.25">
      <c r="A1855" t="s">
        <v>7</v>
      </c>
      <c r="B1855">
        <v>744</v>
      </c>
      <c r="C1855" s="1">
        <v>242405.77</v>
      </c>
      <c r="D1855" s="3">
        <v>44120</v>
      </c>
      <c r="E1855" t="str">
        <f>"T1 202010149551"</f>
        <v>T1 202010149551</v>
      </c>
      <c r="F1855" t="str">
        <f>"FEDERAL WITHHOLDING"</f>
        <v>FEDERAL WITHHOLDING</v>
      </c>
      <c r="G1855" s="1">
        <v>82075.75</v>
      </c>
      <c r="H1855" t="str">
        <f>"FEDERAL WITHHOLDING"</f>
        <v>FEDERAL WITHHOLDING</v>
      </c>
    </row>
    <row r="1856" spans="1:8" x14ac:dyDescent="0.25">
      <c r="E1856" t="str">
        <f>"T1 202010149552"</f>
        <v>T1 202010149552</v>
      </c>
      <c r="F1856" t="str">
        <f>"FEDERAL WITHHOLDING"</f>
        <v>FEDERAL WITHHOLDING</v>
      </c>
      <c r="G1856" s="1">
        <v>2923.28</v>
      </c>
      <c r="H1856" t="str">
        <f>"FEDERAL WITHHOLDING"</f>
        <v>FEDERAL WITHHOLDING</v>
      </c>
    </row>
    <row r="1857" spans="5:8" x14ac:dyDescent="0.25">
      <c r="E1857" t="str">
        <f>"T1 202010149553"</f>
        <v>T1 202010149553</v>
      </c>
      <c r="F1857" t="str">
        <f>"FEDERAL WITHHOLDING"</f>
        <v>FEDERAL WITHHOLDING</v>
      </c>
      <c r="G1857" s="1">
        <v>3307.5</v>
      </c>
      <c r="H1857" t="str">
        <f>"FEDERAL WITHHOLDING"</f>
        <v>FEDERAL WITHHOLDING</v>
      </c>
    </row>
    <row r="1858" spans="5:8" x14ac:dyDescent="0.25">
      <c r="E1858" t="str">
        <f>"T3 202010149551"</f>
        <v>T3 202010149551</v>
      </c>
      <c r="F1858" t="str">
        <f>"SOCIAL SECURITY TAXES"</f>
        <v>SOCIAL SECURITY TAXES</v>
      </c>
      <c r="G1858" s="1">
        <v>115895.28</v>
      </c>
      <c r="H1858" t="str">
        <f>"SOCIAL SECURITY TAXES"</f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>"SOCIAL SECURITY TAXES"</f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>"SOCIAL SECURITY TAXES"</f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>"SOCIAL SECURITY TAXES"</f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>"SOCIAL SECURITY TAXES"</f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>"SOCIAL SECURITY TAXES"</f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>"SOCIAL SECURITY TAXES"</f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>"SOCIAL SECURITY TAXES"</f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>"SOCIAL SECURITY TAXES"</f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>"SOCIAL SECURITY TAXES"</f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>"SOCIAL SECURITY TAXES"</f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>"SOCIAL SECURITY TAXES"</f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>"SOCIAL SECURITY TAXES"</f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>"SOCIAL SECURITY TAXES"</f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>"SOCIAL SECURITY TAXES"</f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>"SOCIAL SECURITY TAXES"</f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>"SOCIAL SECURITY TAXES"</f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>"SOCIAL SECURITY TAXES"</f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>"SOCIAL SECURITY TAXES"</f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>"SOCIAL SECURITY TAXES"</f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>"SOCIAL SECURITY TAXES"</f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>"SOCIAL SECURITY TAXES"</f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>"SOCIAL SECURITY TAXES"</f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>"SOCIAL SECURITY TAXES"</f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>"SOCIAL SECURITY TAXES"</f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>"SOCIAL SECURITY TAXES"</f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>"SOCIAL SECURITY TAXES"</f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>"SOCIAL SECURITY TAXES"</f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>"SOCIAL SECURITY TAXES"</f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>"SOCIAL SECURITY TAXES"</f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>"SOCIAL SECURITY TAXES"</f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>"SOCIAL SECURITY TAXES"</f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>"SOCIAL SECURITY TAXES"</f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>"SOCIAL SECURITY TAXES"</f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>"SOCIAL SECURITY TAXES"</f>
        <v>SOCIAL SECURITY TAXES</v>
      </c>
    </row>
    <row r="1893" spans="5:8" x14ac:dyDescent="0.25">
      <c r="E1893" t="str">
        <f>""</f>
        <v/>
      </c>
      <c r="F1893" t="str">
        <f>""</f>
        <v/>
      </c>
      <c r="H1893" t="str">
        <f>"SOCIAL SECURITY TAXES"</f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>"SOCIAL SECURITY TAXES"</f>
        <v>SOCIAL SECURITY TAXES</v>
      </c>
    </row>
    <row r="1895" spans="5:8" x14ac:dyDescent="0.25">
      <c r="E1895" t="str">
        <f>""</f>
        <v/>
      </c>
      <c r="F1895" t="str">
        <f>""</f>
        <v/>
      </c>
      <c r="H1895" t="str">
        <f>"SOCIAL SECURITY TAXES"</f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>"SOCIAL SECURITY TAXES"</f>
        <v>SOCIAL SECURITY TAXES</v>
      </c>
    </row>
    <row r="1897" spans="5:8" x14ac:dyDescent="0.25">
      <c r="E1897" t="str">
        <f>""</f>
        <v/>
      </c>
      <c r="F1897" t="str">
        <f>""</f>
        <v/>
      </c>
      <c r="H1897" t="str">
        <f>"SOCIAL SECURITY TAXES"</f>
        <v>SOCIAL SECURITY TAXES</v>
      </c>
    </row>
    <row r="1898" spans="5:8" x14ac:dyDescent="0.25">
      <c r="E1898" t="str">
        <f>""</f>
        <v/>
      </c>
      <c r="F1898" t="str">
        <f>""</f>
        <v/>
      </c>
      <c r="H1898" t="str">
        <f>"SOCIAL SECURITY TAXES"</f>
        <v>SOCIAL SECURITY TAXES</v>
      </c>
    </row>
    <row r="1899" spans="5:8" x14ac:dyDescent="0.25">
      <c r="E1899" t="str">
        <f>""</f>
        <v/>
      </c>
      <c r="F1899" t="str">
        <f>""</f>
        <v/>
      </c>
      <c r="H1899" t="str">
        <f>"SOCIAL SECURITY TAXES"</f>
        <v>SOCIAL SECURITY TAXES</v>
      </c>
    </row>
    <row r="1900" spans="5:8" x14ac:dyDescent="0.25">
      <c r="E1900" t="str">
        <f>""</f>
        <v/>
      </c>
      <c r="F1900" t="str">
        <f>""</f>
        <v/>
      </c>
      <c r="H1900" t="str">
        <f>"SOCIAL SECURITY TAXES"</f>
        <v>SOCIAL SECURITY TAXES</v>
      </c>
    </row>
    <row r="1901" spans="5:8" x14ac:dyDescent="0.25">
      <c r="E1901" t="str">
        <f>""</f>
        <v/>
      </c>
      <c r="F1901" t="str">
        <f>""</f>
        <v/>
      </c>
      <c r="H1901" t="str">
        <f>"SOCIAL SECURITY TAXES"</f>
        <v>SOCIAL SECURITY TAXES</v>
      </c>
    </row>
    <row r="1902" spans="5:8" x14ac:dyDescent="0.25">
      <c r="E1902" t="str">
        <f>""</f>
        <v/>
      </c>
      <c r="F1902" t="str">
        <f>""</f>
        <v/>
      </c>
      <c r="H1902" t="str">
        <f>"SOCIAL SECURITY TAXES"</f>
        <v>SOCIAL SECURITY TAXES</v>
      </c>
    </row>
    <row r="1903" spans="5:8" x14ac:dyDescent="0.25">
      <c r="E1903" t="str">
        <f>""</f>
        <v/>
      </c>
      <c r="F1903" t="str">
        <f>""</f>
        <v/>
      </c>
      <c r="H1903" t="str">
        <f>"SOCIAL SECURITY TAXES"</f>
        <v>SOCIAL SECURITY TAXES</v>
      </c>
    </row>
    <row r="1904" spans="5:8" x14ac:dyDescent="0.25">
      <c r="E1904" t="str">
        <f>""</f>
        <v/>
      </c>
      <c r="F1904" t="str">
        <f>""</f>
        <v/>
      </c>
      <c r="H1904" t="str">
        <f>"SOCIAL SECURITY TAXES"</f>
        <v>SOCIAL SECURITY TAXES</v>
      </c>
    </row>
    <row r="1905" spans="5:8" x14ac:dyDescent="0.25">
      <c r="E1905" t="str">
        <f>""</f>
        <v/>
      </c>
      <c r="F1905" t="str">
        <f>""</f>
        <v/>
      </c>
      <c r="H1905" t="str">
        <f>"SOCIAL SECURITY TAXES"</f>
        <v>SOCIAL SECURITY TAXES</v>
      </c>
    </row>
    <row r="1906" spans="5:8" x14ac:dyDescent="0.25">
      <c r="E1906" t="str">
        <f>""</f>
        <v/>
      </c>
      <c r="F1906" t="str">
        <f>""</f>
        <v/>
      </c>
      <c r="H1906" t="str">
        <f>"SOCIAL SECURITY TAXES"</f>
        <v>SOCIAL SECURITY TAXES</v>
      </c>
    </row>
    <row r="1907" spans="5:8" x14ac:dyDescent="0.25">
      <c r="E1907" t="str">
        <f>""</f>
        <v/>
      </c>
      <c r="F1907" t="str">
        <f>""</f>
        <v/>
      </c>
      <c r="H1907" t="str">
        <f>"SOCIAL SECURITY TAXES"</f>
        <v>SOCIAL SECURITY TAXES</v>
      </c>
    </row>
    <row r="1908" spans="5:8" x14ac:dyDescent="0.25">
      <c r="E1908" t="str">
        <f>""</f>
        <v/>
      </c>
      <c r="F1908" t="str">
        <f>""</f>
        <v/>
      </c>
      <c r="H1908" t="str">
        <f>"SOCIAL SECURITY TAXES"</f>
        <v>SOCIAL SECURITY TAXES</v>
      </c>
    </row>
    <row r="1909" spans="5:8" x14ac:dyDescent="0.25">
      <c r="E1909" t="str">
        <f>""</f>
        <v/>
      </c>
      <c r="F1909" t="str">
        <f>""</f>
        <v/>
      </c>
      <c r="H1909" t="str">
        <f>"SOCIAL SECURITY TAXES"</f>
        <v>SOCIAL SECURITY TAXES</v>
      </c>
    </row>
    <row r="1910" spans="5:8" x14ac:dyDescent="0.25">
      <c r="E1910" t="str">
        <f>""</f>
        <v/>
      </c>
      <c r="F1910" t="str">
        <f>""</f>
        <v/>
      </c>
      <c r="H1910" t="str">
        <f>"SOCIAL SECURITY TAXES"</f>
        <v>SOCIAL SECURITY TAXES</v>
      </c>
    </row>
    <row r="1911" spans="5:8" x14ac:dyDescent="0.25">
      <c r="E1911" t="str">
        <f>"T3 202010149552"</f>
        <v>T3 202010149552</v>
      </c>
      <c r="F1911" t="str">
        <f>"SOCIAL SECURITY TAXES"</f>
        <v>SOCIAL SECURITY TAXES</v>
      </c>
      <c r="G1911" s="1">
        <v>4099.04</v>
      </c>
      <c r="H1911" t="str">
        <f>"SOCIAL SECURITY TAXES"</f>
        <v>SOCIAL SECURITY TAXES</v>
      </c>
    </row>
    <row r="1912" spans="5:8" x14ac:dyDescent="0.25">
      <c r="E1912" t="str">
        <f>""</f>
        <v/>
      </c>
      <c r="F1912" t="str">
        <f>""</f>
        <v/>
      </c>
      <c r="H1912" t="str">
        <f>"SOCIAL SECURITY TAXES"</f>
        <v>SOCIAL SECURITY TAXES</v>
      </c>
    </row>
    <row r="1913" spans="5:8" x14ac:dyDescent="0.25">
      <c r="E1913" t="str">
        <f>"T3 202010149553"</f>
        <v>T3 202010149553</v>
      </c>
      <c r="F1913" t="str">
        <f>"SOCIAL SECURITY TAXES"</f>
        <v>SOCIAL SECURITY TAXES</v>
      </c>
      <c r="G1913" s="1">
        <v>4785.74</v>
      </c>
      <c r="H1913" t="str">
        <f>"SOCIAL SECURITY TAXES"</f>
        <v>SOCIAL SECURITY TAXES</v>
      </c>
    </row>
    <row r="1914" spans="5:8" x14ac:dyDescent="0.25">
      <c r="E1914" t="str">
        <f>""</f>
        <v/>
      </c>
      <c r="F1914" t="str">
        <f>""</f>
        <v/>
      </c>
      <c r="H1914" t="str">
        <f>"SOCIAL SECURITY TAXES"</f>
        <v>SOCIAL SECURITY TAXES</v>
      </c>
    </row>
    <row r="1915" spans="5:8" x14ac:dyDescent="0.25">
      <c r="E1915" t="str">
        <f>"T4 202010149551"</f>
        <v>T4 202010149551</v>
      </c>
      <c r="F1915" t="str">
        <f>"MEDICARE TAXES"</f>
        <v>MEDICARE TAXES</v>
      </c>
      <c r="G1915" s="1">
        <v>27241.18</v>
      </c>
      <c r="H1915" t="str">
        <f>"MEDICARE TAXES"</f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>"MEDICARE TAXES"</f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>"MEDICARE TAXES"</f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>"MEDICARE TAXES"</f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>"MEDICARE TAXES"</f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>"MEDICARE TAXES"</f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>"MEDICARE TAXES"</f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>"MEDICARE TAXES"</f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>"MEDICARE TAXES"</f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>"MEDICARE TAXES"</f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>"MEDICARE TAXES"</f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>"MEDICARE TAXES"</f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>"MEDICARE TAXES"</f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>"MEDICARE TAXES"</f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>"MEDICARE TAXES"</f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>"MEDICARE TAXES"</f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>"MEDICARE TAXES"</f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>"MEDICARE TAXES"</f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>"MEDICARE TAXES"</f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>"MEDICARE TAXES"</f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>"MEDICARE TAXES"</f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>"MEDICARE TAXES"</f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>"MEDICARE TAXES"</f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>"MEDICARE TAXES"</f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>"MEDICARE TAXES"</f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>"MEDICARE TAXES"</f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>"MEDICARE TAXES"</f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>"MEDICARE TAXES"</f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>"MEDICARE TAXES"</f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>"MEDICARE TAXES"</f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>"MEDICARE TAXES"</f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>"MEDICARE TAXES"</f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>"MEDICARE TAXES"</f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>"MEDICARE TAXES"</f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>"MEDICARE TAXES"</f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>"MEDICARE TAXES"</f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>"MEDICARE TAXES"</f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>"MEDICARE TAXES"</f>
        <v>MEDICARE TAXES</v>
      </c>
    </row>
    <row r="1953" spans="5:8" x14ac:dyDescent="0.25">
      <c r="E1953" t="str">
        <f>""</f>
        <v/>
      </c>
      <c r="F1953" t="str">
        <f>""</f>
        <v/>
      </c>
      <c r="H1953" t="str">
        <f>"MEDICARE TAXES"</f>
        <v>MEDICARE TAXES</v>
      </c>
    </row>
    <row r="1954" spans="5:8" x14ac:dyDescent="0.25">
      <c r="E1954" t="str">
        <f>""</f>
        <v/>
      </c>
      <c r="F1954" t="str">
        <f>""</f>
        <v/>
      </c>
      <c r="H1954" t="str">
        <f>"MEDICARE TAXES"</f>
        <v>MEDICARE TAXES</v>
      </c>
    </row>
    <row r="1955" spans="5:8" x14ac:dyDescent="0.25">
      <c r="E1955" t="str">
        <f>""</f>
        <v/>
      </c>
      <c r="F1955" t="str">
        <f>""</f>
        <v/>
      </c>
      <c r="H1955" t="str">
        <f>"MEDICARE TAXES"</f>
        <v>MEDICARE TAXES</v>
      </c>
    </row>
    <row r="1956" spans="5:8" x14ac:dyDescent="0.25">
      <c r="E1956" t="str">
        <f>""</f>
        <v/>
      </c>
      <c r="F1956" t="str">
        <f>""</f>
        <v/>
      </c>
      <c r="H1956" t="str">
        <f>"MEDICARE TAXES"</f>
        <v>MEDICARE TAXES</v>
      </c>
    </row>
    <row r="1957" spans="5:8" x14ac:dyDescent="0.25">
      <c r="E1957" t="str">
        <f>""</f>
        <v/>
      </c>
      <c r="F1957" t="str">
        <f>""</f>
        <v/>
      </c>
      <c r="H1957" t="str">
        <f>"MEDICARE TAXES"</f>
        <v>MEDICARE TAXES</v>
      </c>
    </row>
    <row r="1958" spans="5:8" x14ac:dyDescent="0.25">
      <c r="E1958" t="str">
        <f>""</f>
        <v/>
      </c>
      <c r="F1958" t="str">
        <f>""</f>
        <v/>
      </c>
      <c r="H1958" t="str">
        <f>"MEDICARE TAXES"</f>
        <v>MEDICARE TAXES</v>
      </c>
    </row>
    <row r="1959" spans="5:8" x14ac:dyDescent="0.25">
      <c r="E1959" t="str">
        <f>""</f>
        <v/>
      </c>
      <c r="F1959" t="str">
        <f>""</f>
        <v/>
      </c>
      <c r="H1959" t="str">
        <f>"MEDICARE TAXES"</f>
        <v>MEDICARE TAXES</v>
      </c>
    </row>
    <row r="1960" spans="5:8" x14ac:dyDescent="0.25">
      <c r="E1960" t="str">
        <f>""</f>
        <v/>
      </c>
      <c r="F1960" t="str">
        <f>""</f>
        <v/>
      </c>
      <c r="H1960" t="str">
        <f>"MEDICARE TAXES"</f>
        <v>MEDICARE TAXES</v>
      </c>
    </row>
    <row r="1961" spans="5:8" x14ac:dyDescent="0.25">
      <c r="E1961" t="str">
        <f>""</f>
        <v/>
      </c>
      <c r="F1961" t="str">
        <f>""</f>
        <v/>
      </c>
      <c r="H1961" t="str">
        <f>"MEDICARE TAXES"</f>
        <v>MEDICARE TAXES</v>
      </c>
    </row>
    <row r="1962" spans="5:8" x14ac:dyDescent="0.25">
      <c r="E1962" t="str">
        <f>""</f>
        <v/>
      </c>
      <c r="F1962" t="str">
        <f>""</f>
        <v/>
      </c>
      <c r="H1962" t="str">
        <f>"MEDICARE TAXES"</f>
        <v>MEDICARE TAXES</v>
      </c>
    </row>
    <row r="1963" spans="5:8" x14ac:dyDescent="0.25">
      <c r="E1963" t="str">
        <f>""</f>
        <v/>
      </c>
      <c r="F1963" t="str">
        <f>""</f>
        <v/>
      </c>
      <c r="H1963" t="str">
        <f>"MEDICARE TAXES"</f>
        <v>MEDICARE TAXES</v>
      </c>
    </row>
    <row r="1964" spans="5:8" x14ac:dyDescent="0.25">
      <c r="E1964" t="str">
        <f>""</f>
        <v/>
      </c>
      <c r="F1964" t="str">
        <f>""</f>
        <v/>
      </c>
      <c r="H1964" t="str">
        <f>"MEDICARE TAXES"</f>
        <v>MEDICARE TAXES</v>
      </c>
    </row>
    <row r="1965" spans="5:8" x14ac:dyDescent="0.25">
      <c r="E1965" t="str">
        <f>""</f>
        <v/>
      </c>
      <c r="F1965" t="str">
        <f>""</f>
        <v/>
      </c>
      <c r="H1965" t="str">
        <f>"MEDICARE TAXES"</f>
        <v>MEDICARE TAXES</v>
      </c>
    </row>
    <row r="1966" spans="5:8" x14ac:dyDescent="0.25">
      <c r="E1966" t="str">
        <f>""</f>
        <v/>
      </c>
      <c r="F1966" t="str">
        <f>""</f>
        <v/>
      </c>
      <c r="H1966" t="str">
        <f>"MEDICARE TAXES"</f>
        <v>MEDICARE TAXES</v>
      </c>
    </row>
    <row r="1967" spans="5:8" x14ac:dyDescent="0.25">
      <c r="E1967" t="str">
        <f>""</f>
        <v/>
      </c>
      <c r="F1967" t="str">
        <f>""</f>
        <v/>
      </c>
      <c r="H1967" t="str">
        <f>"MEDICARE TAXES"</f>
        <v>MEDICARE TAXES</v>
      </c>
    </row>
    <row r="1968" spans="5:8" x14ac:dyDescent="0.25">
      <c r="E1968" t="str">
        <f>"T4 202010149552"</f>
        <v>T4 202010149552</v>
      </c>
      <c r="F1968" t="str">
        <f>"MEDICARE TAXES"</f>
        <v>MEDICARE TAXES</v>
      </c>
      <c r="G1968" s="1">
        <v>958.7</v>
      </c>
      <c r="H1968" t="str">
        <f>"MEDICARE TAXES"</f>
        <v>MEDICARE TAXES</v>
      </c>
    </row>
    <row r="1969" spans="1:8" x14ac:dyDescent="0.25">
      <c r="E1969" t="str">
        <f>""</f>
        <v/>
      </c>
      <c r="F1969" t="str">
        <f>""</f>
        <v/>
      </c>
      <c r="H1969" t="str">
        <f>"MEDICARE TAXES"</f>
        <v>MEDICARE TAXES</v>
      </c>
    </row>
    <row r="1970" spans="1:8" x14ac:dyDescent="0.25">
      <c r="E1970" t="str">
        <f>"T4 202010149553"</f>
        <v>T4 202010149553</v>
      </c>
      <c r="F1970" t="str">
        <f>"MEDICARE TAXES"</f>
        <v>MEDICARE TAXES</v>
      </c>
      <c r="G1970" s="1">
        <v>1119.3</v>
      </c>
      <c r="H1970" t="str">
        <f>"MEDICARE TAXES"</f>
        <v>MEDICARE TAXES</v>
      </c>
    </row>
    <row r="1971" spans="1:8" x14ac:dyDescent="0.25">
      <c r="E1971" t="str">
        <f>""</f>
        <v/>
      </c>
      <c r="F1971" t="str">
        <f>""</f>
        <v/>
      </c>
      <c r="H1971" t="str">
        <f>"MEDICARE TAXES"</f>
        <v>MEDICARE TAXES</v>
      </c>
    </row>
    <row r="1972" spans="1:8" x14ac:dyDescent="0.25">
      <c r="A1972" t="s">
        <v>7</v>
      </c>
      <c r="B1972">
        <v>756</v>
      </c>
      <c r="C1972" s="1">
        <v>250294.65</v>
      </c>
      <c r="D1972" s="3">
        <v>44134</v>
      </c>
      <c r="E1972" t="str">
        <f>"T1 202010289789"</f>
        <v>T1 202010289789</v>
      </c>
      <c r="F1972" t="str">
        <f>"FEDERAL WITHHOLDING"</f>
        <v>FEDERAL WITHHOLDING</v>
      </c>
      <c r="G1972" s="1">
        <v>84958.87</v>
      </c>
      <c r="H1972" t="str">
        <f>"FEDERAL WITHHOLDING"</f>
        <v>FEDERAL WITHHOLDING</v>
      </c>
    </row>
    <row r="1973" spans="1:8" x14ac:dyDescent="0.25">
      <c r="E1973" t="str">
        <f>"T1 202010289790"</f>
        <v>T1 202010289790</v>
      </c>
      <c r="F1973" t="str">
        <f>"FEDERAL WITHHOLDING"</f>
        <v>FEDERAL WITHHOLDING</v>
      </c>
      <c r="G1973" s="1">
        <v>3087.04</v>
      </c>
      <c r="H1973" t="str">
        <f>"FEDERAL WITHHOLDING"</f>
        <v>FEDERAL WITHHOLDING</v>
      </c>
    </row>
    <row r="1974" spans="1:8" x14ac:dyDescent="0.25">
      <c r="E1974" t="str">
        <f>"T1 202010289791"</f>
        <v>T1 202010289791</v>
      </c>
      <c r="F1974" t="str">
        <f>"FEDERAL WITHHOLDING"</f>
        <v>FEDERAL WITHHOLDING</v>
      </c>
      <c r="G1974" s="1">
        <v>3582.54</v>
      </c>
      <c r="H1974" t="str">
        <f>"FEDERAL WITHHOLDING"</f>
        <v>FEDERAL WITHHOLDING</v>
      </c>
    </row>
    <row r="1975" spans="1:8" x14ac:dyDescent="0.25">
      <c r="E1975" t="str">
        <f>"T3 202010289789"</f>
        <v>T3 202010289789</v>
      </c>
      <c r="F1975" t="str">
        <f>"SOCIAL SECURITY TAXES"</f>
        <v>SOCIAL SECURITY TAXES</v>
      </c>
      <c r="G1975" s="1">
        <v>119183.14</v>
      </c>
      <c r="H1975" t="str">
        <f>"SOCIAL SECURITY TAXES"</f>
        <v>SOCIAL SECURITY TAXES</v>
      </c>
    </row>
    <row r="1976" spans="1:8" x14ac:dyDescent="0.25">
      <c r="E1976" t="str">
        <f>""</f>
        <v/>
      </c>
      <c r="F1976" t="str">
        <f>""</f>
        <v/>
      </c>
      <c r="H1976" t="str">
        <f>"SOCIAL SECURITY TAXES"</f>
        <v>SOCIAL SECURITY TAXES</v>
      </c>
    </row>
    <row r="1977" spans="1:8" x14ac:dyDescent="0.25">
      <c r="E1977" t="str">
        <f>""</f>
        <v/>
      </c>
      <c r="F1977" t="str">
        <f>""</f>
        <v/>
      </c>
      <c r="H1977" t="str">
        <f>"SOCIAL SECURITY TAXES"</f>
        <v>SOCIAL SECURITY TAXES</v>
      </c>
    </row>
    <row r="1978" spans="1:8" x14ac:dyDescent="0.25">
      <c r="E1978" t="str">
        <f>""</f>
        <v/>
      </c>
      <c r="F1978" t="str">
        <f>""</f>
        <v/>
      </c>
      <c r="H1978" t="str">
        <f>"SOCIAL SECURITY TAXES"</f>
        <v>SOCIAL SECURITY TAXES</v>
      </c>
    </row>
    <row r="1979" spans="1:8" x14ac:dyDescent="0.25">
      <c r="E1979" t="str">
        <f>""</f>
        <v/>
      </c>
      <c r="F1979" t="str">
        <f>""</f>
        <v/>
      </c>
      <c r="H1979" t="str">
        <f>"SOCIAL SECURITY TAXES"</f>
        <v>SOCIAL SECURITY TAXES</v>
      </c>
    </row>
    <row r="1980" spans="1:8" x14ac:dyDescent="0.25">
      <c r="E1980" t="str">
        <f>""</f>
        <v/>
      </c>
      <c r="F1980" t="str">
        <f>""</f>
        <v/>
      </c>
      <c r="H1980" t="str">
        <f>"SOCIAL SECURITY TAXES"</f>
        <v>SOCIAL SECURITY TAXES</v>
      </c>
    </row>
    <row r="1981" spans="1:8" x14ac:dyDescent="0.25">
      <c r="E1981" t="str">
        <f>""</f>
        <v/>
      </c>
      <c r="F1981" t="str">
        <f>""</f>
        <v/>
      </c>
      <c r="H1981" t="str">
        <f>"SOCIAL SECURITY TAXES"</f>
        <v>SOCIAL SECURITY TAXES</v>
      </c>
    </row>
    <row r="1982" spans="1:8" x14ac:dyDescent="0.25">
      <c r="E1982" t="str">
        <f>""</f>
        <v/>
      </c>
      <c r="F1982" t="str">
        <f>""</f>
        <v/>
      </c>
      <c r="H1982" t="str">
        <f>"SOCIAL SECURITY TAXES"</f>
        <v>SOCIAL SECURITY TAXES</v>
      </c>
    </row>
    <row r="1983" spans="1:8" x14ac:dyDescent="0.25">
      <c r="E1983" t="str">
        <f>""</f>
        <v/>
      </c>
      <c r="F1983" t="str">
        <f>""</f>
        <v/>
      </c>
      <c r="H1983" t="str">
        <f>"SOCIAL SECURITY TAXES"</f>
        <v>SOCIAL SECURITY TAXES</v>
      </c>
    </row>
    <row r="1984" spans="1:8" x14ac:dyDescent="0.25">
      <c r="E1984" t="str">
        <f>""</f>
        <v/>
      </c>
      <c r="F1984" t="str">
        <f>""</f>
        <v/>
      </c>
      <c r="H1984" t="str">
        <f>"SOCIAL SECURITY TAXES"</f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>"SOCIAL SECURITY TAXES"</f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>"SOCIAL SECURITY TAXES"</f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>"SOCIAL SECURITY TAXES"</f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>"SOCIAL SECURITY TAXES"</f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>"SOCIAL SECURITY TAXES"</f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>"SOCIAL SECURITY TAXES"</f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>"SOCIAL SECURITY TAXES"</f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>"SOCIAL SECURITY TAXES"</f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>"SOCIAL SECURITY TAXES"</f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>"SOCIAL SECURITY TAXES"</f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>"SOCIAL SECURITY TAXES"</f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>"SOCIAL SECURITY TAXES"</f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>"SOCIAL SECURITY TAXES"</f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>"SOCIAL SECURITY TAXES"</f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>"SOCIAL SECURITY TAXES"</f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>"SOCIAL SECURITY TAXES"</f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>"SOCIAL SECURITY TAXES"</f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>"SOCIAL SECURITY TAXES"</f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>"SOCIAL SECURITY TAXES"</f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>"SOCIAL SECURITY TAXES"</f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>"SOCIAL SECURITY TAXES"</f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>"SOCIAL SECURITY TAXES"</f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>"SOCIAL SECURITY TAXES"</f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>"SOCIAL SECURITY TAXES"</f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>"SOCIAL SECURITY TAXES"</f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>"SOCIAL SECURITY TAXES"</f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>"SOCIAL SECURITY TAXES"</f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>"SOCIAL SECURITY TAXES"</f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>"SOCIAL SECURITY TAXES"</f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>"SOCIAL SECURITY TAXES"</f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>"SOCIAL SECURITY TAXES"</f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>"SOCIAL SECURITY TAXES"</f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>"SOCIAL SECURITY TAXES"</f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>"SOCIAL SECURITY TAXES"</f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>"SOCIAL SECURITY TAXES"</f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>"SOCIAL SECURITY TAXES"</f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>"SOCIAL SECURITY TAXES"</f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>"SOCIAL SECURITY TAXES"</f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>"SOCIAL SECURITY TAXES"</f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>"SOCIAL SECURITY TAXES"</f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>"SOCIAL SECURITY TAXES"</f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>"SOCIAL SECURITY TAXES"</f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>"SOCIAL SECURITY TAXES"</f>
        <v>SOCIAL SECURITY TAXES</v>
      </c>
    </row>
    <row r="2028" spans="5:8" x14ac:dyDescent="0.25">
      <c r="E2028" t="str">
        <f>"T3 202010289790"</f>
        <v>T3 202010289790</v>
      </c>
      <c r="F2028" t="str">
        <f>"SOCIAL SECURITY TAXES"</f>
        <v>SOCIAL SECURITY TAXES</v>
      </c>
      <c r="G2028" s="1">
        <v>4222.22</v>
      </c>
      <c r="H2028" t="str">
        <f>"SOCIAL SECURITY TAXES"</f>
        <v>SOCIAL SECURITY TAXES</v>
      </c>
    </row>
    <row r="2029" spans="5:8" x14ac:dyDescent="0.25">
      <c r="E2029" t="str">
        <f>""</f>
        <v/>
      </c>
      <c r="F2029" t="str">
        <f>""</f>
        <v/>
      </c>
      <c r="H2029" t="str">
        <f>"SOCIAL SECURITY TAXES"</f>
        <v>SOCIAL SECURITY TAXES</v>
      </c>
    </row>
    <row r="2030" spans="5:8" x14ac:dyDescent="0.25">
      <c r="E2030" t="str">
        <f>"T3 202010289791"</f>
        <v>T3 202010289791</v>
      </c>
      <c r="F2030" t="str">
        <f>"SOCIAL SECURITY TAXES"</f>
        <v>SOCIAL SECURITY TAXES</v>
      </c>
      <c r="G2030" s="1">
        <v>5026.38</v>
      </c>
      <c r="H2030" t="str">
        <f>"SOCIAL SECURITY TAXES"</f>
        <v>SOCIAL SECURITY TAXES</v>
      </c>
    </row>
    <row r="2031" spans="5:8" x14ac:dyDescent="0.25">
      <c r="E2031" t="str">
        <f>""</f>
        <v/>
      </c>
      <c r="F2031" t="str">
        <f>""</f>
        <v/>
      </c>
      <c r="H2031" t="str">
        <f>"SOCIAL SECURITY TAXES"</f>
        <v>SOCIAL SECURITY TAXES</v>
      </c>
    </row>
    <row r="2032" spans="5:8" x14ac:dyDescent="0.25">
      <c r="E2032" t="str">
        <f>"T4 202010289789"</f>
        <v>T4 202010289789</v>
      </c>
      <c r="F2032" t="str">
        <f>"MEDICARE TAXES"</f>
        <v>MEDICARE TAXES</v>
      </c>
      <c r="G2032" s="1">
        <v>28071.42</v>
      </c>
      <c r="H2032" t="str">
        <f>"MEDICARE TAXES"</f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>"MEDICARE TAXES"</f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>"MEDICARE TAXES"</f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>"MEDICARE TAXES"</f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>"MEDICARE TAXES"</f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>"MEDICARE TAXES"</f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>"MEDICARE TAXES"</f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>"MEDICARE TAXES"</f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>"MEDICARE TAXES"</f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>"MEDICARE TAXES"</f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>"MEDICARE TAXES"</f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>"MEDICARE TAXES"</f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>"MEDICARE TAXES"</f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>"MEDICARE TAXES"</f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>"MEDICARE TAXES"</f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>"MEDICARE TAXES"</f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>"MEDICARE TAXES"</f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>"MEDICARE TAXES"</f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>"MEDICARE TAXES"</f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>"MEDICARE TAXES"</f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>"MEDICARE TAXES"</f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>"MEDICARE TAXES"</f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>"MEDICARE TAXES"</f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>"MEDICARE TAXES"</f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>"MEDICARE TAXES"</f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>"MEDICARE TAXES"</f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>"MEDICARE TAXES"</f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>"MEDICARE TAXES"</f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>"MEDICARE TAXES"</f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>"MEDICARE TAXES"</f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>"MEDICARE TAXES"</f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>"MEDICARE TAXES"</f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>"MEDICARE TAXES"</f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>"MEDICARE TAXES"</f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>"MEDICARE TAXES"</f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>"MEDICARE TAXES"</f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>"MEDICARE TAXES"</f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>"MEDICARE TAXES"</f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>"MEDICARE TAXES"</f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>"MEDICARE TAXES"</f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>"MEDICARE TAXES"</f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>"MEDICARE TAXES"</f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>"MEDICARE TAXES"</f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>"MEDICARE TAXES"</f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>"MEDICARE TAXES"</f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>"MEDICARE TAXES"</f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>"MEDICARE TAXES"</f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>"MEDICARE TAXES"</f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>"MEDICARE TAXES"</f>
        <v>MEDICARE TAXES</v>
      </c>
    </row>
    <row r="2081" spans="1:8" x14ac:dyDescent="0.25">
      <c r="E2081" t="str">
        <f>""</f>
        <v/>
      </c>
      <c r="F2081" t="str">
        <f>""</f>
        <v/>
      </c>
      <c r="H2081" t="str">
        <f>"MEDICARE TAXES"</f>
        <v>MEDICARE TAXES</v>
      </c>
    </row>
    <row r="2082" spans="1:8" x14ac:dyDescent="0.25">
      <c r="E2082" t="str">
        <f>""</f>
        <v/>
      </c>
      <c r="F2082" t="str">
        <f>""</f>
        <v/>
      </c>
      <c r="H2082" t="str">
        <f>"MEDICARE TAXES"</f>
        <v>MEDICARE TAXES</v>
      </c>
    </row>
    <row r="2083" spans="1:8" x14ac:dyDescent="0.25">
      <c r="E2083" t="str">
        <f>""</f>
        <v/>
      </c>
      <c r="F2083" t="str">
        <f>""</f>
        <v/>
      </c>
      <c r="H2083" t="str">
        <f>"MEDICARE TAXES"</f>
        <v>MEDICARE TAXES</v>
      </c>
    </row>
    <row r="2084" spans="1:8" x14ac:dyDescent="0.25">
      <c r="E2084" t="str">
        <f>""</f>
        <v/>
      </c>
      <c r="F2084" t="str">
        <f>""</f>
        <v/>
      </c>
      <c r="H2084" t="str">
        <f>"MEDICARE TAXES"</f>
        <v>MEDICARE TAXES</v>
      </c>
    </row>
    <row r="2085" spans="1:8" x14ac:dyDescent="0.25">
      <c r="E2085" t="str">
        <f>"T4 202010289790"</f>
        <v>T4 202010289790</v>
      </c>
      <c r="F2085" t="str">
        <f>"MEDICARE TAXES"</f>
        <v>MEDICARE TAXES</v>
      </c>
      <c r="G2085" s="1">
        <v>987.48</v>
      </c>
      <c r="H2085" t="str">
        <f>"MEDICARE TAXES"</f>
        <v>MEDICARE TAXES</v>
      </c>
    </row>
    <row r="2086" spans="1:8" x14ac:dyDescent="0.25">
      <c r="E2086" t="str">
        <f>""</f>
        <v/>
      </c>
      <c r="F2086" t="str">
        <f>""</f>
        <v/>
      </c>
      <c r="H2086" t="str">
        <f>"MEDICARE TAXES"</f>
        <v>MEDICARE TAXES</v>
      </c>
    </row>
    <row r="2087" spans="1:8" x14ac:dyDescent="0.25">
      <c r="E2087" t="str">
        <f>"T4 202010289791"</f>
        <v>T4 202010289791</v>
      </c>
      <c r="F2087" t="str">
        <f>"MEDICARE TAXES"</f>
        <v>MEDICARE TAXES</v>
      </c>
      <c r="G2087" s="1">
        <v>1175.56</v>
      </c>
      <c r="H2087" t="str">
        <f>"MEDICARE TAXES"</f>
        <v>MEDICARE TAXES</v>
      </c>
    </row>
    <row r="2088" spans="1:8" x14ac:dyDescent="0.25">
      <c r="E2088" t="str">
        <f>""</f>
        <v/>
      </c>
      <c r="F2088" t="str">
        <f>""</f>
        <v/>
      </c>
      <c r="H2088" t="str">
        <f>"MEDICARE TAXES"</f>
        <v>MEDICARE TAXES</v>
      </c>
    </row>
    <row r="2089" spans="1:8" x14ac:dyDescent="0.25">
      <c r="A2089" t="s">
        <v>6</v>
      </c>
      <c r="B2089">
        <v>753</v>
      </c>
      <c r="C2089" s="1">
        <v>535.82000000000005</v>
      </c>
      <c r="D2089" s="3">
        <v>44131</v>
      </c>
      <c r="E2089" t="str">
        <f>"LIX202009309111"</f>
        <v>LIX202009309111</v>
      </c>
      <c r="F2089" t="str">
        <f>"TEXAS LIFE/OLIVO GROUP"</f>
        <v>TEXAS LIFE/OLIVO GROUP</v>
      </c>
      <c r="G2089" s="1">
        <v>267.91000000000003</v>
      </c>
      <c r="H2089" t="str">
        <f>"TEXAS LIFE/OLIVO GROUP"</f>
        <v>TEXAS LIFE/OLIVO GROUP</v>
      </c>
    </row>
    <row r="2090" spans="1:8" x14ac:dyDescent="0.25">
      <c r="E2090" t="str">
        <f>"LIX202010149551"</f>
        <v>LIX202010149551</v>
      </c>
      <c r="F2090" t="str">
        <f>"TEXAS LIFE/OLIVO GROUP"</f>
        <v>TEXAS LIFE/OLIVO GROUP</v>
      </c>
      <c r="G2090" s="1">
        <v>267.91000000000003</v>
      </c>
      <c r="H2090" t="str">
        <f>"TEXAS LIFE/OLIVO GROUP"</f>
        <v>TEXAS LIFE/OLIVO GROUP</v>
      </c>
    </row>
    <row r="2091" spans="1:8" x14ac:dyDescent="0.25">
      <c r="A2091" t="s">
        <v>5</v>
      </c>
      <c r="B2091">
        <v>48112</v>
      </c>
      <c r="C2091" s="1">
        <v>8240</v>
      </c>
      <c r="D2091" s="3">
        <v>44131</v>
      </c>
      <c r="E2091" t="str">
        <f>"PHI202009309111"</f>
        <v>PHI202009309111</v>
      </c>
      <c r="F2091" t="str">
        <f>"PHI AIR"</f>
        <v>PHI AIR</v>
      </c>
      <c r="G2091" s="1">
        <v>4060</v>
      </c>
      <c r="H2091" t="str">
        <f>"PHI AIR"</f>
        <v>PHI AIR</v>
      </c>
    </row>
    <row r="2092" spans="1:8" x14ac:dyDescent="0.25">
      <c r="E2092" t="str">
        <f>"PHI202009309112"</f>
        <v>PHI202009309112</v>
      </c>
      <c r="F2092" t="str">
        <f>"PHI AIR"</f>
        <v>PHI AIR</v>
      </c>
      <c r="G2092" s="1">
        <v>60</v>
      </c>
      <c r="H2092" t="str">
        <f>"PHI AIR"</f>
        <v>PHI AIR</v>
      </c>
    </row>
    <row r="2093" spans="1:8" x14ac:dyDescent="0.25">
      <c r="E2093" t="str">
        <f>"PHI202010149551"</f>
        <v>PHI202010149551</v>
      </c>
      <c r="F2093" t="str">
        <f>"PHI AIR"</f>
        <v>PHI AIR</v>
      </c>
      <c r="G2093" s="1">
        <v>4060</v>
      </c>
      <c r="H2093" t="str">
        <f>"PHI AIR"</f>
        <v>PHI AIR</v>
      </c>
    </row>
    <row r="2094" spans="1:8" x14ac:dyDescent="0.25">
      <c r="E2094" t="str">
        <f>"PHI202010149552"</f>
        <v>PHI202010149552</v>
      </c>
      <c r="F2094" t="str">
        <f>"PHI AIR"</f>
        <v>PHI AIR</v>
      </c>
      <c r="G2094" s="1">
        <v>60</v>
      </c>
      <c r="H2094" t="str">
        <f>"PHI AIR"</f>
        <v>PHI AIR</v>
      </c>
    </row>
    <row r="2095" spans="1:8" x14ac:dyDescent="0.25">
      <c r="A2095" t="s">
        <v>4</v>
      </c>
      <c r="B2095">
        <v>48111</v>
      </c>
      <c r="C2095" s="1">
        <v>368480.82</v>
      </c>
      <c r="D2095" s="3">
        <v>44131</v>
      </c>
      <c r="E2095" t="str">
        <f>"202010269762"</f>
        <v>202010269762</v>
      </c>
      <c r="F2095" t="str">
        <f>"RETIREE INS - OCTOBER 2020"</f>
        <v>RETIREE INS - OCTOBER 2020</v>
      </c>
      <c r="G2095" s="1">
        <v>16663.7</v>
      </c>
      <c r="H2095" t="str">
        <f>"RETIREE INS - OCTOBER 2020"</f>
        <v>RETIREE INS - OCTOBER 2020</v>
      </c>
    </row>
    <row r="2096" spans="1:8" x14ac:dyDescent="0.25">
      <c r="E2096" t="str">
        <f>"202010279771"</f>
        <v>202010279771</v>
      </c>
      <c r="F2096" t="str">
        <f>"OCTOBER 2020 - ADJ-J SOMMERF"</f>
        <v>OCTOBER 2020 - ADJ-J SOMMERF</v>
      </c>
      <c r="G2096" s="1">
        <v>341.83</v>
      </c>
      <c r="H2096" t="str">
        <f>"OCTOBER 2020 - ADJ-J SOMMERF"</f>
        <v>OCTOBER 2020 - ADJ-J SOMMERF</v>
      </c>
    </row>
    <row r="2097" spans="5:8" x14ac:dyDescent="0.25">
      <c r="E2097" t="str">
        <f>"2EC202009309111"</f>
        <v>2EC202009309111</v>
      </c>
      <c r="F2097" t="str">
        <f>"BCBS PAYABLE"</f>
        <v>BCBS PAYABLE</v>
      </c>
      <c r="G2097" s="1">
        <v>48855.040000000001</v>
      </c>
      <c r="H2097" t="str">
        <f>"BCBS PAYABLE"</f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>"BCBS PAYABLE"</f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>"BCBS PAYABLE"</f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>"BCBS PAYABLE"</f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>"BCBS PAYABLE"</f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>"BCBS PAYABLE"</f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>"BCBS PAYABLE"</f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>"BCBS PAYABLE"</f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>"BCBS PAYABLE"</f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>"BCBS PAYABLE"</f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>"BCBS PAYABLE"</f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>"BCBS PAYABLE"</f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>"BCBS PAYABLE"</f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>"BCBS PAYABLE"</f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>"BCBS PAYABLE"</f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>"BCBS PAYABLE"</f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>"BCBS PAYABLE"</f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>"BCBS PAYABLE"</f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>"BCBS PAYABLE"</f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>"BCBS PAYABLE"</f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>"BCBS PAYABLE"</f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>"BCBS PAYABLE"</f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>"BCBS PAYABLE"</f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>"BCBS PAYABLE"</f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>"BCBS PAYABLE"</f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>"BCBS PAYABLE"</f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>"BCBS PAYABLE"</f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>"BCBS PAYABLE"</f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>"BCBS PAYABLE"</f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>"BCBS PAYABLE"</f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>"BCBS PAYABLE"</f>
        <v>BCBS PAYABLE</v>
      </c>
    </row>
    <row r="2128" spans="5:8" x14ac:dyDescent="0.25">
      <c r="E2128" t="str">
        <f>"2EC202009309112"</f>
        <v>2EC202009309112</v>
      </c>
      <c r="F2128" t="str">
        <f>"BCBS PAYABLE"</f>
        <v>BCBS PAYABLE</v>
      </c>
      <c r="G2128" s="1">
        <v>2818.56</v>
      </c>
      <c r="H2128" t="str">
        <f>"BCBS PAYABLE"</f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>"BCBS PAYABLE"</f>
        <v>BCBS PAYABLE</v>
      </c>
    </row>
    <row r="2130" spans="5:8" x14ac:dyDescent="0.25">
      <c r="E2130" t="str">
        <f>"2EC202010149551"</f>
        <v>2EC202010149551</v>
      </c>
      <c r="F2130" t="str">
        <f>"BCBS PAYABLE"</f>
        <v>BCBS PAYABLE</v>
      </c>
      <c r="G2130" s="1">
        <v>48855.040000000001</v>
      </c>
      <c r="H2130" t="str">
        <f>"BCBS PAYABLE"</f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>"BCBS PAYABLE"</f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>"BCBS PAYABLE"</f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>"BCBS PAYABLE"</f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>"BCBS PAYABLE"</f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>"BCBS PAYABLE"</f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>"BCBS PAYABLE"</f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>"BCBS PAYABLE"</f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>"BCBS PAYABLE"</f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>"BCBS PAYABLE"</f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>"BCBS PAYABLE"</f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>"BCBS PAYABLE"</f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>"BCBS PAYABLE"</f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>"BCBS PAYABLE"</f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>"BCBS PAYABLE"</f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>"BCBS PAYABLE"</f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>"BCBS PAYABLE"</f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>"BCBS PAYABLE"</f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>"BCBS PAYABLE"</f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>"BCBS PAYABLE"</f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>"BCBS PAYABLE"</f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>"BCBS PAYABLE"</f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>"BCBS PAYABLE"</f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>"BCBS PAYABLE"</f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>"BCBS PAYABLE"</f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>"BCBS PAYABLE"</f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>"BCBS PAYABLE"</f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>"BCBS PAYABLE"</f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>"BCBS PAYABLE"</f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>"BCBS PAYABLE"</f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>"BCBS PAYABLE"</f>
        <v>BCBS PAYABLE</v>
      </c>
    </row>
    <row r="2161" spans="5:8" x14ac:dyDescent="0.25">
      <c r="E2161" t="str">
        <f>"2EC202010149552"</f>
        <v>2EC202010149552</v>
      </c>
      <c r="F2161" t="str">
        <f>"BCBS PAYABLE"</f>
        <v>BCBS PAYABLE</v>
      </c>
      <c r="G2161" s="1">
        <v>2818.56</v>
      </c>
      <c r="H2161" t="str">
        <f>"BCBS PAYABLE"</f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>"BCBS PAYABLE"</f>
        <v>BCBS PAYABLE</v>
      </c>
    </row>
    <row r="2163" spans="5:8" x14ac:dyDescent="0.25">
      <c r="E2163" t="str">
        <f>"2EF202009309111"</f>
        <v>2EF202009309111</v>
      </c>
      <c r="F2163" t="str">
        <f>"BCBS PAYABLE"</f>
        <v>BCBS PAYABLE</v>
      </c>
      <c r="G2163" s="1">
        <v>933.27</v>
      </c>
      <c r="H2163" t="str">
        <f>"BCBS PAYABLE"</f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>"BCBS PAYABLE"</f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>"BCBS PAYABLE"</f>
        <v>BCBS PAYABLE</v>
      </c>
    </row>
    <row r="2166" spans="5:8" x14ac:dyDescent="0.25">
      <c r="E2166" t="str">
        <f>"2EF202010149551"</f>
        <v>2EF202010149551</v>
      </c>
      <c r="F2166" t="str">
        <f>"BCBS PAYABLE"</f>
        <v>BCBS PAYABLE</v>
      </c>
      <c r="G2166" s="1">
        <v>933.27</v>
      </c>
      <c r="H2166" t="str">
        <f>"BCBS PAYABLE"</f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>"BCBS PAYABLE"</f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>"BCBS PAYABLE"</f>
        <v>BCBS PAYABLE</v>
      </c>
    </row>
    <row r="2169" spans="5:8" x14ac:dyDescent="0.25">
      <c r="E2169" t="str">
        <f>"2EO202009309111"</f>
        <v>2EO202009309111</v>
      </c>
      <c r="F2169" t="str">
        <f>"BCBS PAYABLE"</f>
        <v>BCBS PAYABLE</v>
      </c>
      <c r="G2169" s="1">
        <v>103574.49</v>
      </c>
      <c r="H2169" t="str">
        <f>"BCBS PAYABLE"</f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>"BCBS PAYABLE"</f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>"BCBS PAYABLE"</f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>"BCBS PAYABLE"</f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>"BCBS PAYABLE"</f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>"BCBS PAYABLE"</f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>"BCBS PAYABLE"</f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>"BCBS PAYABLE"</f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>"BCBS PAYABLE"</f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>"BCBS PAYABLE"</f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>"BCBS PAYABLE"</f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>"BCBS PAYABLE"</f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>"BCBS PAYABLE"</f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>"BCBS PAYABLE"</f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>"BCBS PAYABLE"</f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>"BCBS PAYABLE"</f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>"BCBS PAYABLE"</f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>"BCBS PAYABLE"</f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>"BCBS PAYABLE"</f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>"BCBS PAYABLE"</f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>"BCBS PAYABLE"</f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>"BCBS PAYABLE"</f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>"BCBS PAYABLE"</f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>"BCBS PAYABLE"</f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>"BCBS PAYABLE"</f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>"BCBS PAYABLE"</f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>"BCBS PAYABLE"</f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>"BCBS PAYABLE"</f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>"BCBS PAYABLE"</f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>"BCBS PAYABLE"</f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>"BCBS PAYABLE"</f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>"BCBS PAYABLE"</f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>"BCBS PAYABLE"</f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>"BCBS PAYABLE"</f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>"BCBS PAYABLE"</f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>"BCBS PAYABLE"</f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>"BCBS PAYABLE"</f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>"BCBS PAYABLE"</f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>"BCBS PAYABLE"</f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>"BCBS PAYABLE"</f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>"BCBS PAYABLE"</f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>"BCBS PAYABLE"</f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>"BCBS PAYABLE"</f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>"BCBS PAYABLE"</f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>"BCBS PAYABLE"</f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>"BCBS PAYABLE"</f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>"BCBS PAYABLE"</f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>"BCBS PAYABLE"</f>
        <v>BCBS PAYABLE</v>
      </c>
    </row>
    <row r="2217" spans="5:8" x14ac:dyDescent="0.25">
      <c r="E2217" t="str">
        <f>"2EO202009309112"</f>
        <v>2EO202009309112</v>
      </c>
      <c r="F2217" t="str">
        <f>"BCBS PAYABLE"</f>
        <v>BCBS PAYABLE</v>
      </c>
      <c r="G2217" s="1">
        <v>3760.13</v>
      </c>
      <c r="H2217" t="str">
        <f>"BCBS PAYABLE"</f>
        <v>BCBS PAYABLE</v>
      </c>
    </row>
    <row r="2218" spans="5:8" x14ac:dyDescent="0.25">
      <c r="E2218" t="str">
        <f>"2EO202010149551"</f>
        <v>2EO202010149551</v>
      </c>
      <c r="F2218" t="str">
        <f>"BCBS PAYABLE"</f>
        <v>BCBS PAYABLE</v>
      </c>
      <c r="G2218" s="1">
        <v>103232.66</v>
      </c>
      <c r="H2218" t="str">
        <f>"BCBS PAYABLE"</f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>"BCBS PAYABLE"</f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>"BCBS PAYABLE"</f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>"BCBS PAYABLE"</f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>"BCBS PAYABLE"</f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>"BCBS PAYABLE"</f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>"BCBS PAYABLE"</f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>"BCBS PAYABLE"</f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>"BCBS PAYABLE"</f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>"BCBS PAYABLE"</f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>"BCBS PAYABLE"</f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>"BCBS PAYABLE"</f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>"BCBS PAYABLE"</f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>"BCBS PAYABLE"</f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>"BCBS PAYABLE"</f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>"BCBS PAYABLE"</f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>"BCBS PAYABLE"</f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>"BCBS PAYABLE"</f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>"BCBS PAYABLE"</f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>"BCBS PAYABLE"</f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>"BCBS PAYABLE"</f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>"BCBS PAYABLE"</f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>"BCBS PAYABLE"</f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>"BCBS PAYABLE"</f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>"BCBS PAYABLE"</f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>"BCBS PAYABLE"</f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>"BCBS PAYABLE"</f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>"BCBS PAYABLE"</f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>"BCBS PAYABLE"</f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>"BCBS PAYABLE"</f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>"BCBS PAYABLE"</f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>"BCBS PAYABLE"</f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>"BCBS PAYABLE"</f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>"BCBS PAYABLE"</f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>"BCBS PAYABLE"</f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>"BCBS PAYABLE"</f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>"BCBS PAYABLE"</f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>"BCBS PAYABLE"</f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>"BCBS PAYABLE"</f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>"BCBS PAYABLE"</f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>"BCBS PAYABLE"</f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>"BCBS PAYABLE"</f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>"BCBS PAYABLE"</f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>"BCBS PAYABLE"</f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>"BCBS PAYABLE"</f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>"BCBS PAYABLE"</f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>"BCBS PAYABLE"</f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>"BCBS PAYABLE"</f>
        <v>BCBS PAYABLE</v>
      </c>
    </row>
    <row r="2266" spans="5:8" x14ac:dyDescent="0.25">
      <c r="E2266" t="str">
        <f>"2EO202010149552"</f>
        <v>2EO202010149552</v>
      </c>
      <c r="F2266" t="str">
        <f>"BCBS PAYABLE"</f>
        <v>BCBS PAYABLE</v>
      </c>
      <c r="G2266" s="1">
        <v>3076.47</v>
      </c>
      <c r="H2266" t="str">
        <f>"BCBS PAYABLE"</f>
        <v>BCBS PAYABLE</v>
      </c>
    </row>
    <row r="2267" spans="5:8" x14ac:dyDescent="0.25">
      <c r="E2267" t="str">
        <f>"2ES202009309111"</f>
        <v>2ES202009309111</v>
      </c>
      <c r="F2267" t="str">
        <f>"BCBS PAYABLE"</f>
        <v>BCBS PAYABLE</v>
      </c>
      <c r="G2267" s="1">
        <v>16308.9</v>
      </c>
      <c r="H2267" t="str">
        <f>"BCBS PAYABLE"</f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>"BCBS PAYABLE"</f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>"BCBS PAYABLE"</f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>"BCBS PAYABLE"</f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>"BCBS PAYABLE"</f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>"BCBS PAYABLE"</f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>"BCBS PAYABLE"</f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>"BCBS PAYABLE"</f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>"BCBS PAYABLE"</f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>"BCBS PAYABLE"</f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>"BCBS PAYABLE"</f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>"BCBS PAYABLE"</f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>"BCBS PAYABLE"</f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>"BCBS PAYABLE"</f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>"BCBS PAYABLE"</f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>"BCBS PAYABLE"</f>
        <v>BCBS PAYABLE</v>
      </c>
    </row>
    <row r="2283" spans="5:8" x14ac:dyDescent="0.25">
      <c r="E2283" t="str">
        <f>"2ES202010149551"</f>
        <v>2ES202010149551</v>
      </c>
      <c r="F2283" t="str">
        <f>"BCBS PAYABLE"</f>
        <v>BCBS PAYABLE</v>
      </c>
      <c r="G2283" s="1">
        <v>16308.9</v>
      </c>
      <c r="H2283" t="str">
        <f>"BCBS PAYABLE"</f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>"BCBS PAYABLE"</f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>"BCBS PAYABLE"</f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>"BCBS PAYABLE"</f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>"BCBS PAYABLE"</f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>"BCBS PAYABLE"</f>
        <v>BCBS PAYABLE</v>
      </c>
    </row>
    <row r="2289" spans="1:8" x14ac:dyDescent="0.25">
      <c r="E2289" t="str">
        <f>""</f>
        <v/>
      </c>
      <c r="F2289" t="str">
        <f>""</f>
        <v/>
      </c>
      <c r="H2289" t="str">
        <f>"BCBS PAYABLE"</f>
        <v>BCBS PAYABLE</v>
      </c>
    </row>
    <row r="2290" spans="1:8" x14ac:dyDescent="0.25">
      <c r="E2290" t="str">
        <f>""</f>
        <v/>
      </c>
      <c r="F2290" t="str">
        <f>""</f>
        <v/>
      </c>
      <c r="H2290" t="str">
        <f>"BCBS PAYABLE"</f>
        <v>BCBS PAYABLE</v>
      </c>
    </row>
    <row r="2291" spans="1:8" x14ac:dyDescent="0.25">
      <c r="E2291" t="str">
        <f>""</f>
        <v/>
      </c>
      <c r="F2291" t="str">
        <f>""</f>
        <v/>
      </c>
      <c r="H2291" t="str">
        <f>"BCBS PAYABLE"</f>
        <v>BCBS PAYABLE</v>
      </c>
    </row>
    <row r="2292" spans="1:8" x14ac:dyDescent="0.25">
      <c r="E2292" t="str">
        <f>""</f>
        <v/>
      </c>
      <c r="F2292" t="str">
        <f>""</f>
        <v/>
      </c>
      <c r="H2292" t="str">
        <f>"BCBS PAYABLE"</f>
        <v>BCBS PAYABLE</v>
      </c>
    </row>
    <row r="2293" spans="1:8" x14ac:dyDescent="0.25">
      <c r="E2293" t="str">
        <f>""</f>
        <v/>
      </c>
      <c r="F2293" t="str">
        <f>""</f>
        <v/>
      </c>
      <c r="H2293" t="str">
        <f>"BCBS PAYABLE"</f>
        <v>BCBS PAYABLE</v>
      </c>
    </row>
    <row r="2294" spans="1:8" x14ac:dyDescent="0.25">
      <c r="E2294" t="str">
        <f>""</f>
        <v/>
      </c>
      <c r="F2294" t="str">
        <f>""</f>
        <v/>
      </c>
      <c r="H2294" t="str">
        <f>"BCBS PAYABLE"</f>
        <v>BCBS PAYABLE</v>
      </c>
    </row>
    <row r="2295" spans="1:8" x14ac:dyDescent="0.25">
      <c r="E2295" t="str">
        <f>""</f>
        <v/>
      </c>
      <c r="F2295" t="str">
        <f>""</f>
        <v/>
      </c>
      <c r="H2295" t="str">
        <f>"BCBS PAYABLE"</f>
        <v>BCBS PAYABLE</v>
      </c>
    </row>
    <row r="2296" spans="1:8" x14ac:dyDescent="0.25">
      <c r="E2296" t="str">
        <f>""</f>
        <v/>
      </c>
      <c r="F2296" t="str">
        <f>""</f>
        <v/>
      </c>
      <c r="H2296" t="str">
        <f>"BCBS PAYABLE"</f>
        <v>BCBS PAYABLE</v>
      </c>
    </row>
    <row r="2297" spans="1:8" x14ac:dyDescent="0.25">
      <c r="E2297" t="str">
        <f>""</f>
        <v/>
      </c>
      <c r="F2297" t="str">
        <f>""</f>
        <v/>
      </c>
      <c r="H2297" t="str">
        <f>"BCBS PAYABLE"</f>
        <v>BCBS PAYABLE</v>
      </c>
    </row>
    <row r="2298" spans="1:8" x14ac:dyDescent="0.25">
      <c r="E2298" t="str">
        <f>""</f>
        <v/>
      </c>
      <c r="F2298" t="str">
        <f>""</f>
        <v/>
      </c>
      <c r="H2298" t="str">
        <f>"BCBS PAYABLE"</f>
        <v>BCBS PAYABLE</v>
      </c>
    </row>
    <row r="2299" spans="1:8" x14ac:dyDescent="0.25">
      <c r="A2299" t="s">
        <v>3</v>
      </c>
      <c r="B2299">
        <v>730</v>
      </c>
      <c r="C2299" s="1">
        <v>235768.46</v>
      </c>
      <c r="D2299" s="3">
        <v>44106</v>
      </c>
      <c r="E2299" t="str">
        <f>"FSA202009309111"</f>
        <v>FSA202009309111</v>
      </c>
      <c r="F2299" t="str">
        <f>"TASC FSA"</f>
        <v>TASC FSA</v>
      </c>
      <c r="G2299" s="1">
        <v>7202.34</v>
      </c>
      <c r="H2299" t="str">
        <f>"TASC FSA"</f>
        <v>TASC FSA</v>
      </c>
    </row>
    <row r="2300" spans="1:8" x14ac:dyDescent="0.25">
      <c r="E2300" t="str">
        <f>"FSA202009309112"</f>
        <v>FSA202009309112</v>
      </c>
      <c r="F2300" t="str">
        <f>"TASC FSA"</f>
        <v>TASC FSA</v>
      </c>
      <c r="G2300" s="1">
        <v>443.32</v>
      </c>
      <c r="H2300" t="str">
        <f>"TASC FSA"</f>
        <v>TASC FSA</v>
      </c>
    </row>
    <row r="2301" spans="1:8" x14ac:dyDescent="0.25">
      <c r="E2301" t="str">
        <f>"FSC202009309111"</f>
        <v>FSC202009309111</v>
      </c>
      <c r="F2301" t="str">
        <f>"TASC DEPENDENT CARE"</f>
        <v>TASC DEPENDENT CARE</v>
      </c>
      <c r="G2301" s="1">
        <v>50</v>
      </c>
      <c r="H2301" t="str">
        <f>"TASC DEPENDENT CARE"</f>
        <v>TASC DEPENDENT CARE</v>
      </c>
    </row>
    <row r="2302" spans="1:8" x14ac:dyDescent="0.25">
      <c r="E2302" t="str">
        <f>"FSF202009309111"</f>
        <v>FSF202009309111</v>
      </c>
      <c r="F2302" t="str">
        <f>"TASC - FSA  FEES"</f>
        <v>TASC - FSA  FEES</v>
      </c>
      <c r="G2302" s="1">
        <v>241.2</v>
      </c>
      <c r="H2302" t="str">
        <f>"TASC - FSA  FEES"</f>
        <v>TASC - FSA  FEES</v>
      </c>
    </row>
    <row r="2303" spans="1:8" x14ac:dyDescent="0.25">
      <c r="E2303" t="str">
        <f>""</f>
        <v/>
      </c>
      <c r="F2303" t="str">
        <f>""</f>
        <v/>
      </c>
      <c r="H2303" t="str">
        <f>"TASC - FSA  FEES"</f>
        <v>TASC - FSA  FEES</v>
      </c>
    </row>
    <row r="2304" spans="1:8" x14ac:dyDescent="0.25">
      <c r="E2304" t="str">
        <f>""</f>
        <v/>
      </c>
      <c r="F2304" t="str">
        <f>""</f>
        <v/>
      </c>
      <c r="H2304" t="str">
        <f>"TASC - FSA  FEES"</f>
        <v>TASC - FSA  FEES</v>
      </c>
    </row>
    <row r="2305" spans="5:8" x14ac:dyDescent="0.25">
      <c r="E2305" t="str">
        <f>""</f>
        <v/>
      </c>
      <c r="F2305" t="str">
        <f>""</f>
        <v/>
      </c>
      <c r="H2305" t="str">
        <f>"TASC - FSA  FEES"</f>
        <v>TASC - FSA  FEES</v>
      </c>
    </row>
    <row r="2306" spans="5:8" x14ac:dyDescent="0.25">
      <c r="E2306" t="str">
        <f>""</f>
        <v/>
      </c>
      <c r="F2306" t="str">
        <f>""</f>
        <v/>
      </c>
      <c r="H2306" t="str">
        <f>"TASC - FSA  FEES"</f>
        <v>TASC - FSA  FEES</v>
      </c>
    </row>
    <row r="2307" spans="5:8" x14ac:dyDescent="0.25">
      <c r="E2307" t="str">
        <f>""</f>
        <v/>
      </c>
      <c r="F2307" t="str">
        <f>""</f>
        <v/>
      </c>
      <c r="H2307" t="str">
        <f>"TASC - FSA  FEES"</f>
        <v>TASC - FSA  FEES</v>
      </c>
    </row>
    <row r="2308" spans="5:8" x14ac:dyDescent="0.25">
      <c r="E2308" t="str">
        <f>""</f>
        <v/>
      </c>
      <c r="F2308" t="str">
        <f>""</f>
        <v/>
      </c>
      <c r="H2308" t="str">
        <f>"TASC - FSA  FEES"</f>
        <v>TASC - FSA  FEES</v>
      </c>
    </row>
    <row r="2309" spans="5:8" x14ac:dyDescent="0.25">
      <c r="E2309" t="str">
        <f>""</f>
        <v/>
      </c>
      <c r="F2309" t="str">
        <f>""</f>
        <v/>
      </c>
      <c r="H2309" t="str">
        <f>"TASC - FSA  FEES"</f>
        <v>TASC - FSA  FEES</v>
      </c>
    </row>
    <row r="2310" spans="5:8" x14ac:dyDescent="0.25">
      <c r="E2310" t="str">
        <f>""</f>
        <v/>
      </c>
      <c r="F2310" t="str">
        <f>""</f>
        <v/>
      </c>
      <c r="H2310" t="str">
        <f>"TASC - FSA  FEES"</f>
        <v>TASC - FSA  FEES</v>
      </c>
    </row>
    <row r="2311" spans="5:8" x14ac:dyDescent="0.25">
      <c r="E2311" t="str">
        <f>""</f>
        <v/>
      </c>
      <c r="F2311" t="str">
        <f>""</f>
        <v/>
      </c>
      <c r="H2311" t="str">
        <f>"TASC - FSA  FEES"</f>
        <v>TASC - FSA  FEES</v>
      </c>
    </row>
    <row r="2312" spans="5:8" x14ac:dyDescent="0.25">
      <c r="E2312" t="str">
        <f>""</f>
        <v/>
      </c>
      <c r="F2312" t="str">
        <f>""</f>
        <v/>
      </c>
      <c r="H2312" t="str">
        <f>"TASC - FSA  FEES"</f>
        <v>TASC - FSA  FEES</v>
      </c>
    </row>
    <row r="2313" spans="5:8" x14ac:dyDescent="0.25">
      <c r="E2313" t="str">
        <f>""</f>
        <v/>
      </c>
      <c r="F2313" t="str">
        <f>""</f>
        <v/>
      </c>
      <c r="H2313" t="str">
        <f>"TASC - FSA  FEES"</f>
        <v>TASC - FSA  FEES</v>
      </c>
    </row>
    <row r="2314" spans="5:8" x14ac:dyDescent="0.25">
      <c r="E2314" t="str">
        <f>""</f>
        <v/>
      </c>
      <c r="F2314" t="str">
        <f>""</f>
        <v/>
      </c>
      <c r="H2314" t="str">
        <f>"TASC - FSA  FEES"</f>
        <v>TASC - FSA  FEES</v>
      </c>
    </row>
    <row r="2315" spans="5:8" x14ac:dyDescent="0.25">
      <c r="E2315" t="str">
        <f>""</f>
        <v/>
      </c>
      <c r="F2315" t="str">
        <f>""</f>
        <v/>
      </c>
      <c r="H2315" t="str">
        <f>"TASC - FSA  FEES"</f>
        <v>TASC - FSA  FEES</v>
      </c>
    </row>
    <row r="2316" spans="5:8" x14ac:dyDescent="0.25">
      <c r="E2316" t="str">
        <f>""</f>
        <v/>
      </c>
      <c r="F2316" t="str">
        <f>""</f>
        <v/>
      </c>
      <c r="H2316" t="str">
        <f>"TASC - FSA  FEES"</f>
        <v>TASC - FSA  FEES</v>
      </c>
    </row>
    <row r="2317" spans="5:8" x14ac:dyDescent="0.25">
      <c r="E2317" t="str">
        <f>""</f>
        <v/>
      </c>
      <c r="F2317" t="str">
        <f>""</f>
        <v/>
      </c>
      <c r="H2317" t="str">
        <f>"TASC - FSA  FEES"</f>
        <v>TASC - FSA  FEES</v>
      </c>
    </row>
    <row r="2318" spans="5:8" x14ac:dyDescent="0.25">
      <c r="E2318" t="str">
        <f>""</f>
        <v/>
      </c>
      <c r="F2318" t="str">
        <f>""</f>
        <v/>
      </c>
      <c r="H2318" t="str">
        <f>"TASC - FSA  FEES"</f>
        <v>TASC - FSA  FEES</v>
      </c>
    </row>
    <row r="2319" spans="5:8" x14ac:dyDescent="0.25">
      <c r="E2319" t="str">
        <f>""</f>
        <v/>
      </c>
      <c r="F2319" t="str">
        <f>""</f>
        <v/>
      </c>
      <c r="H2319" t="str">
        <f>"TASC - FSA  FEES"</f>
        <v>TASC - FSA  FEES</v>
      </c>
    </row>
    <row r="2320" spans="5:8" x14ac:dyDescent="0.25">
      <c r="E2320" t="str">
        <f>""</f>
        <v/>
      </c>
      <c r="F2320" t="str">
        <f>""</f>
        <v/>
      </c>
      <c r="H2320" t="str">
        <f>"TASC - FSA  FEES"</f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>"TASC - FSA  FEES"</f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>"TASC - FSA  FEES"</f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>"TASC - FSA  FEES"</f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>"TASC - FSA  FEES"</f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>"TASC - FSA  FEES"</f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>"TASC - FSA  FEES"</f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>"TASC - FSA  FEES"</f>
        <v>TASC - FSA  FEES</v>
      </c>
    </row>
    <row r="2328" spans="5:8" x14ac:dyDescent="0.25">
      <c r="E2328" t="str">
        <f>""</f>
        <v/>
      </c>
      <c r="F2328" t="str">
        <f>""</f>
        <v/>
      </c>
      <c r="H2328" t="str">
        <f>"TASC - FSA  FEES"</f>
        <v>TASC - FSA  FEES</v>
      </c>
    </row>
    <row r="2329" spans="5:8" x14ac:dyDescent="0.25">
      <c r="E2329" t="str">
        <f>""</f>
        <v/>
      </c>
      <c r="F2329" t="str">
        <f>""</f>
        <v/>
      </c>
      <c r="H2329" t="str">
        <f>"TASC - FSA  FEES"</f>
        <v>TASC - FSA  FEES</v>
      </c>
    </row>
    <row r="2330" spans="5:8" x14ac:dyDescent="0.25">
      <c r="E2330" t="str">
        <f>""</f>
        <v/>
      </c>
      <c r="F2330" t="str">
        <f>""</f>
        <v/>
      </c>
      <c r="H2330" t="str">
        <f>"TASC - FSA  FEES"</f>
        <v>TASC - FSA  FEES</v>
      </c>
    </row>
    <row r="2331" spans="5:8" x14ac:dyDescent="0.25">
      <c r="E2331" t="str">
        <f>""</f>
        <v/>
      </c>
      <c r="F2331" t="str">
        <f>""</f>
        <v/>
      </c>
      <c r="H2331" t="str">
        <f>"TASC - FSA  FEES"</f>
        <v>TASC - FSA  FEES</v>
      </c>
    </row>
    <row r="2332" spans="5:8" x14ac:dyDescent="0.25">
      <c r="E2332" t="str">
        <f>""</f>
        <v/>
      </c>
      <c r="F2332" t="str">
        <f>""</f>
        <v/>
      </c>
      <c r="H2332" t="str">
        <f>"TASC - FSA  FEES"</f>
        <v>TASC - FSA  FEES</v>
      </c>
    </row>
    <row r="2333" spans="5:8" x14ac:dyDescent="0.25">
      <c r="E2333" t="str">
        <f>""</f>
        <v/>
      </c>
      <c r="F2333" t="str">
        <f>""</f>
        <v/>
      </c>
      <c r="H2333" t="str">
        <f>"TASC - FSA  FEES"</f>
        <v>TASC - FSA  FEES</v>
      </c>
    </row>
    <row r="2334" spans="5:8" x14ac:dyDescent="0.25">
      <c r="E2334" t="str">
        <f>""</f>
        <v/>
      </c>
      <c r="F2334" t="str">
        <f>""</f>
        <v/>
      </c>
      <c r="H2334" t="str">
        <f>"TASC - FSA  FEES"</f>
        <v>TASC - FSA  FEES</v>
      </c>
    </row>
    <row r="2335" spans="5:8" x14ac:dyDescent="0.25">
      <c r="E2335" t="str">
        <f>""</f>
        <v/>
      </c>
      <c r="F2335" t="str">
        <f>""</f>
        <v/>
      </c>
      <c r="H2335" t="str">
        <f>"TASC - FSA  FEES"</f>
        <v>TASC - FSA  FEES</v>
      </c>
    </row>
    <row r="2336" spans="5:8" x14ac:dyDescent="0.25">
      <c r="E2336" t="str">
        <f>""</f>
        <v/>
      </c>
      <c r="F2336" t="str">
        <f>""</f>
        <v/>
      </c>
      <c r="H2336" t="str">
        <f>"TASC - FSA  FEES"</f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>"TASC - FSA  FEES"</f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>"TASC - FSA  FEES"</f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>"TASC - FSA  FEES"</f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>"TASC - FSA  FEES"</f>
        <v>TASC - FSA  FEES</v>
      </c>
    </row>
    <row r="2341" spans="5:8" x14ac:dyDescent="0.25">
      <c r="E2341" t="str">
        <f>"FSF202009309112"</f>
        <v>FSF202009309112</v>
      </c>
      <c r="F2341" t="str">
        <f>"TASC - FSA  FEES"</f>
        <v>TASC - FSA  FEES</v>
      </c>
      <c r="G2341" s="1">
        <v>12.6</v>
      </c>
      <c r="H2341" t="str">
        <f>"TASC - FSA  FEES"</f>
        <v>TASC - FSA  FEES</v>
      </c>
    </row>
    <row r="2342" spans="5:8" x14ac:dyDescent="0.25">
      <c r="E2342" t="str">
        <f>"HRA202009309111"</f>
        <v>HRA202009309111</v>
      </c>
      <c r="F2342" t="str">
        <f>"TASC HRA"</f>
        <v>TASC HRA</v>
      </c>
      <c r="G2342" s="1">
        <v>219000</v>
      </c>
      <c r="H2342" t="str">
        <f>"TASC HRA"</f>
        <v>TASC HRA</v>
      </c>
    </row>
    <row r="2343" spans="5:8" x14ac:dyDescent="0.25">
      <c r="E2343" t="str">
        <f>""</f>
        <v/>
      </c>
      <c r="F2343" t="str">
        <f>""</f>
        <v/>
      </c>
      <c r="H2343" t="str">
        <f>"TASC HRA"</f>
        <v>TASC HRA</v>
      </c>
    </row>
    <row r="2344" spans="5:8" x14ac:dyDescent="0.25">
      <c r="E2344" t="str">
        <f>""</f>
        <v/>
      </c>
      <c r="F2344" t="str">
        <f>""</f>
        <v/>
      </c>
      <c r="H2344" t="str">
        <f>"TASC HRA"</f>
        <v>TASC HRA</v>
      </c>
    </row>
    <row r="2345" spans="5:8" x14ac:dyDescent="0.25">
      <c r="E2345" t="str">
        <f>""</f>
        <v/>
      </c>
      <c r="F2345" t="str">
        <f>""</f>
        <v/>
      </c>
      <c r="H2345" t="str">
        <f>"TASC HRA"</f>
        <v>TASC HRA</v>
      </c>
    </row>
    <row r="2346" spans="5:8" x14ac:dyDescent="0.25">
      <c r="E2346" t="str">
        <f>""</f>
        <v/>
      </c>
      <c r="F2346" t="str">
        <f>""</f>
        <v/>
      </c>
      <c r="H2346" t="str">
        <f>"TASC HRA"</f>
        <v>TASC HRA</v>
      </c>
    </row>
    <row r="2347" spans="5:8" x14ac:dyDescent="0.25">
      <c r="E2347" t="str">
        <f>""</f>
        <v/>
      </c>
      <c r="F2347" t="str">
        <f>""</f>
        <v/>
      </c>
      <c r="H2347" t="str">
        <f>"TASC HRA"</f>
        <v>TASC HRA</v>
      </c>
    </row>
    <row r="2348" spans="5:8" x14ac:dyDescent="0.25">
      <c r="E2348" t="str">
        <f>""</f>
        <v/>
      </c>
      <c r="F2348" t="str">
        <f>""</f>
        <v/>
      </c>
      <c r="H2348" t="str">
        <f>"TASC HRA"</f>
        <v>TASC HRA</v>
      </c>
    </row>
    <row r="2349" spans="5:8" x14ac:dyDescent="0.25">
      <c r="E2349" t="str">
        <f>""</f>
        <v/>
      </c>
      <c r="F2349" t="str">
        <f>""</f>
        <v/>
      </c>
      <c r="H2349" t="str">
        <f>"TASC HRA"</f>
        <v>TASC HRA</v>
      </c>
    </row>
    <row r="2350" spans="5:8" x14ac:dyDescent="0.25">
      <c r="E2350" t="str">
        <f>""</f>
        <v/>
      </c>
      <c r="F2350" t="str">
        <f>""</f>
        <v/>
      </c>
      <c r="H2350" t="str">
        <f>"TASC HRA"</f>
        <v>TASC HRA</v>
      </c>
    </row>
    <row r="2351" spans="5:8" x14ac:dyDescent="0.25">
      <c r="E2351" t="str">
        <f>""</f>
        <v/>
      </c>
      <c r="F2351" t="str">
        <f>""</f>
        <v/>
      </c>
      <c r="H2351" t="str">
        <f>"TASC HRA"</f>
        <v>TASC HRA</v>
      </c>
    </row>
    <row r="2352" spans="5:8" x14ac:dyDescent="0.25">
      <c r="E2352" t="str">
        <f>""</f>
        <v/>
      </c>
      <c r="F2352" t="str">
        <f>""</f>
        <v/>
      </c>
      <c r="H2352" t="str">
        <f>"TASC HRA"</f>
        <v>TASC HRA</v>
      </c>
    </row>
    <row r="2353" spans="5:8" x14ac:dyDescent="0.25">
      <c r="E2353" t="str">
        <f>""</f>
        <v/>
      </c>
      <c r="F2353" t="str">
        <f>""</f>
        <v/>
      </c>
      <c r="H2353" t="str">
        <f>"TASC HRA"</f>
        <v>TASC HRA</v>
      </c>
    </row>
    <row r="2354" spans="5:8" x14ac:dyDescent="0.25">
      <c r="E2354" t="str">
        <f>""</f>
        <v/>
      </c>
      <c r="F2354" t="str">
        <f>""</f>
        <v/>
      </c>
      <c r="H2354" t="str">
        <f>"TASC HRA"</f>
        <v>TASC HRA</v>
      </c>
    </row>
    <row r="2355" spans="5:8" x14ac:dyDescent="0.25">
      <c r="E2355" t="str">
        <f>""</f>
        <v/>
      </c>
      <c r="F2355" t="str">
        <f>""</f>
        <v/>
      </c>
      <c r="H2355" t="str">
        <f>"TASC HRA"</f>
        <v>TASC HRA</v>
      </c>
    </row>
    <row r="2356" spans="5:8" x14ac:dyDescent="0.25">
      <c r="E2356" t="str">
        <f>""</f>
        <v/>
      </c>
      <c r="F2356" t="str">
        <f>""</f>
        <v/>
      </c>
      <c r="H2356" t="str">
        <f>"TASC HRA"</f>
        <v>TASC HRA</v>
      </c>
    </row>
    <row r="2357" spans="5:8" x14ac:dyDescent="0.25">
      <c r="E2357" t="str">
        <f>""</f>
        <v/>
      </c>
      <c r="F2357" t="str">
        <f>""</f>
        <v/>
      </c>
      <c r="H2357" t="str">
        <f>"TASC HRA"</f>
        <v>TASC HRA</v>
      </c>
    </row>
    <row r="2358" spans="5:8" x14ac:dyDescent="0.25">
      <c r="E2358" t="str">
        <f>""</f>
        <v/>
      </c>
      <c r="F2358" t="str">
        <f>""</f>
        <v/>
      </c>
      <c r="H2358" t="str">
        <f>"TASC HRA"</f>
        <v>TASC HRA</v>
      </c>
    </row>
    <row r="2359" spans="5:8" x14ac:dyDescent="0.25">
      <c r="E2359" t="str">
        <f>""</f>
        <v/>
      </c>
      <c r="F2359" t="str">
        <f>""</f>
        <v/>
      </c>
      <c r="H2359" t="str">
        <f>"TASC HRA"</f>
        <v>TASC HRA</v>
      </c>
    </row>
    <row r="2360" spans="5:8" x14ac:dyDescent="0.25">
      <c r="E2360" t="str">
        <f>""</f>
        <v/>
      </c>
      <c r="F2360" t="str">
        <f>""</f>
        <v/>
      </c>
      <c r="H2360" t="str">
        <f>"TASC HRA"</f>
        <v>TASC HRA</v>
      </c>
    </row>
    <row r="2361" spans="5:8" x14ac:dyDescent="0.25">
      <c r="E2361" t="str">
        <f>""</f>
        <v/>
      </c>
      <c r="F2361" t="str">
        <f>""</f>
        <v/>
      </c>
      <c r="H2361" t="str">
        <f>"TASC HRA"</f>
        <v>TASC HRA</v>
      </c>
    </row>
    <row r="2362" spans="5:8" x14ac:dyDescent="0.25">
      <c r="E2362" t="str">
        <f>""</f>
        <v/>
      </c>
      <c r="F2362" t="str">
        <f>""</f>
        <v/>
      </c>
      <c r="H2362" t="str">
        <f>"TASC HRA"</f>
        <v>TASC HRA</v>
      </c>
    </row>
    <row r="2363" spans="5:8" x14ac:dyDescent="0.25">
      <c r="E2363" t="str">
        <f>""</f>
        <v/>
      </c>
      <c r="F2363" t="str">
        <f>""</f>
        <v/>
      </c>
      <c r="H2363" t="str">
        <f>"TASC HRA"</f>
        <v>TASC HRA</v>
      </c>
    </row>
    <row r="2364" spans="5:8" x14ac:dyDescent="0.25">
      <c r="E2364" t="str">
        <f>""</f>
        <v/>
      </c>
      <c r="F2364" t="str">
        <f>""</f>
        <v/>
      </c>
      <c r="H2364" t="str">
        <f>"TASC HRA"</f>
        <v>TASC HRA</v>
      </c>
    </row>
    <row r="2365" spans="5:8" x14ac:dyDescent="0.25">
      <c r="E2365" t="str">
        <f>""</f>
        <v/>
      </c>
      <c r="F2365" t="str">
        <f>""</f>
        <v/>
      </c>
      <c r="H2365" t="str">
        <f>"TASC HRA"</f>
        <v>TASC HRA</v>
      </c>
    </row>
    <row r="2366" spans="5:8" x14ac:dyDescent="0.25">
      <c r="E2366" t="str">
        <f>""</f>
        <v/>
      </c>
      <c r="F2366" t="str">
        <f>""</f>
        <v/>
      </c>
      <c r="H2366" t="str">
        <f>"TASC HRA"</f>
        <v>TASC HRA</v>
      </c>
    </row>
    <row r="2367" spans="5:8" x14ac:dyDescent="0.25">
      <c r="E2367" t="str">
        <f>""</f>
        <v/>
      </c>
      <c r="F2367" t="str">
        <f>""</f>
        <v/>
      </c>
      <c r="H2367" t="str">
        <f>"TASC HRA"</f>
        <v>TASC HRA</v>
      </c>
    </row>
    <row r="2368" spans="5:8" x14ac:dyDescent="0.25">
      <c r="E2368" t="str">
        <f>""</f>
        <v/>
      </c>
      <c r="F2368" t="str">
        <f>""</f>
        <v/>
      </c>
      <c r="H2368" t="str">
        <f>"TASC HRA"</f>
        <v>TASC HRA</v>
      </c>
    </row>
    <row r="2369" spans="5:8" x14ac:dyDescent="0.25">
      <c r="E2369" t="str">
        <f>""</f>
        <v/>
      </c>
      <c r="F2369" t="str">
        <f>""</f>
        <v/>
      </c>
      <c r="H2369" t="str">
        <f>"TASC HRA"</f>
        <v>TASC HRA</v>
      </c>
    </row>
    <row r="2370" spans="5:8" x14ac:dyDescent="0.25">
      <c r="E2370" t="str">
        <f>""</f>
        <v/>
      </c>
      <c r="F2370" t="str">
        <f>""</f>
        <v/>
      </c>
      <c r="H2370" t="str">
        <f>"TASC HRA"</f>
        <v>TASC HRA</v>
      </c>
    </row>
    <row r="2371" spans="5:8" x14ac:dyDescent="0.25">
      <c r="E2371" t="str">
        <f>""</f>
        <v/>
      </c>
      <c r="F2371" t="str">
        <f>""</f>
        <v/>
      </c>
      <c r="H2371" t="str">
        <f>"TASC HRA"</f>
        <v>TASC HRA</v>
      </c>
    </row>
    <row r="2372" spans="5:8" x14ac:dyDescent="0.25">
      <c r="E2372" t="str">
        <f>""</f>
        <v/>
      </c>
      <c r="F2372" t="str">
        <f>""</f>
        <v/>
      </c>
      <c r="H2372" t="str">
        <f>"TASC HRA"</f>
        <v>TASC HRA</v>
      </c>
    </row>
    <row r="2373" spans="5:8" x14ac:dyDescent="0.25">
      <c r="E2373" t="str">
        <f>""</f>
        <v/>
      </c>
      <c r="F2373" t="str">
        <f>""</f>
        <v/>
      </c>
      <c r="H2373" t="str">
        <f>"TASC HRA"</f>
        <v>TASC HRA</v>
      </c>
    </row>
    <row r="2374" spans="5:8" x14ac:dyDescent="0.25">
      <c r="E2374" t="str">
        <f>""</f>
        <v/>
      </c>
      <c r="F2374" t="str">
        <f>""</f>
        <v/>
      </c>
      <c r="H2374" t="str">
        <f>"TASC HRA"</f>
        <v>TASC HRA</v>
      </c>
    </row>
    <row r="2375" spans="5:8" x14ac:dyDescent="0.25">
      <c r="E2375" t="str">
        <f>""</f>
        <v/>
      </c>
      <c r="F2375" t="str">
        <f>""</f>
        <v/>
      </c>
      <c r="H2375" t="str">
        <f>"TASC HRA"</f>
        <v>TASC HRA</v>
      </c>
    </row>
    <row r="2376" spans="5:8" x14ac:dyDescent="0.25">
      <c r="E2376" t="str">
        <f>""</f>
        <v/>
      </c>
      <c r="F2376" t="str">
        <f>""</f>
        <v/>
      </c>
      <c r="H2376" t="str">
        <f>"TASC HRA"</f>
        <v>TASC HRA</v>
      </c>
    </row>
    <row r="2377" spans="5:8" x14ac:dyDescent="0.25">
      <c r="E2377" t="str">
        <f>""</f>
        <v/>
      </c>
      <c r="F2377" t="str">
        <f>""</f>
        <v/>
      </c>
      <c r="H2377" t="str">
        <f>"TASC HRA"</f>
        <v>TASC HRA</v>
      </c>
    </row>
    <row r="2378" spans="5:8" x14ac:dyDescent="0.25">
      <c r="E2378" t="str">
        <f>""</f>
        <v/>
      </c>
      <c r="F2378" t="str">
        <f>""</f>
        <v/>
      </c>
      <c r="H2378" t="str">
        <f>"TASC HRA"</f>
        <v>TASC HRA</v>
      </c>
    </row>
    <row r="2379" spans="5:8" x14ac:dyDescent="0.25">
      <c r="E2379" t="str">
        <f>""</f>
        <v/>
      </c>
      <c r="F2379" t="str">
        <f>""</f>
        <v/>
      </c>
      <c r="H2379" t="str">
        <f>"TASC HRA"</f>
        <v>TASC HRA</v>
      </c>
    </row>
    <row r="2380" spans="5:8" x14ac:dyDescent="0.25">
      <c r="E2380" t="str">
        <f>""</f>
        <v/>
      </c>
      <c r="F2380" t="str">
        <f>""</f>
        <v/>
      </c>
      <c r="H2380" t="str">
        <f>"TASC HRA"</f>
        <v>TASC HRA</v>
      </c>
    </row>
    <row r="2381" spans="5:8" x14ac:dyDescent="0.25">
      <c r="E2381" t="str">
        <f>""</f>
        <v/>
      </c>
      <c r="F2381" t="str">
        <f>""</f>
        <v/>
      </c>
      <c r="H2381" t="str">
        <f>"TASC HRA"</f>
        <v>TASC HRA</v>
      </c>
    </row>
    <row r="2382" spans="5:8" x14ac:dyDescent="0.25">
      <c r="E2382" t="str">
        <f>""</f>
        <v/>
      </c>
      <c r="F2382" t="str">
        <f>""</f>
        <v/>
      </c>
      <c r="H2382" t="str">
        <f>"TASC HRA"</f>
        <v>TASC HRA</v>
      </c>
    </row>
    <row r="2383" spans="5:8" x14ac:dyDescent="0.25">
      <c r="E2383" t="str">
        <f>""</f>
        <v/>
      </c>
      <c r="F2383" t="str">
        <f>""</f>
        <v/>
      </c>
      <c r="H2383" t="str">
        <f>"TASC HRA"</f>
        <v>TASC HRA</v>
      </c>
    </row>
    <row r="2384" spans="5:8" x14ac:dyDescent="0.25">
      <c r="E2384" t="str">
        <f>""</f>
        <v/>
      </c>
      <c r="F2384" t="str">
        <f>""</f>
        <v/>
      </c>
      <c r="H2384" t="str">
        <f>"TASC HRA"</f>
        <v>TASC HRA</v>
      </c>
    </row>
    <row r="2385" spans="5:8" x14ac:dyDescent="0.25">
      <c r="E2385" t="str">
        <f>""</f>
        <v/>
      </c>
      <c r="F2385" t="str">
        <f>""</f>
        <v/>
      </c>
      <c r="H2385" t="str">
        <f>"TASC HRA"</f>
        <v>TASC HRA</v>
      </c>
    </row>
    <row r="2386" spans="5:8" x14ac:dyDescent="0.25">
      <c r="E2386" t="str">
        <f>""</f>
        <v/>
      </c>
      <c r="F2386" t="str">
        <f>""</f>
        <v/>
      </c>
      <c r="H2386" t="str">
        <f>"TASC HRA"</f>
        <v>TASC HRA</v>
      </c>
    </row>
    <row r="2387" spans="5:8" x14ac:dyDescent="0.25">
      <c r="E2387" t="str">
        <f>""</f>
        <v/>
      </c>
      <c r="F2387" t="str">
        <f>""</f>
        <v/>
      </c>
      <c r="H2387" t="str">
        <f>"TASC HRA"</f>
        <v>TASC HRA</v>
      </c>
    </row>
    <row r="2388" spans="5:8" x14ac:dyDescent="0.25">
      <c r="E2388" t="str">
        <f>""</f>
        <v/>
      </c>
      <c r="F2388" t="str">
        <f>""</f>
        <v/>
      </c>
      <c r="H2388" t="str">
        <f>"TASC HRA"</f>
        <v>TASC HRA</v>
      </c>
    </row>
    <row r="2389" spans="5:8" x14ac:dyDescent="0.25">
      <c r="E2389" t="str">
        <f>""</f>
        <v/>
      </c>
      <c r="F2389" t="str">
        <f>""</f>
        <v/>
      </c>
      <c r="H2389" t="str">
        <f>"TASC HRA"</f>
        <v>TASC HRA</v>
      </c>
    </row>
    <row r="2390" spans="5:8" x14ac:dyDescent="0.25">
      <c r="E2390" t="str">
        <f>""</f>
        <v/>
      </c>
      <c r="F2390" t="str">
        <f>""</f>
        <v/>
      </c>
      <c r="H2390" t="str">
        <f>"TASC HRA"</f>
        <v>TASC HRA</v>
      </c>
    </row>
    <row r="2391" spans="5:8" x14ac:dyDescent="0.25">
      <c r="E2391" t="str">
        <f>""</f>
        <v/>
      </c>
      <c r="F2391" t="str">
        <f>""</f>
        <v/>
      </c>
      <c r="H2391" t="str">
        <f>"TASC HRA"</f>
        <v>TASC HRA</v>
      </c>
    </row>
    <row r="2392" spans="5:8" x14ac:dyDescent="0.25">
      <c r="E2392" t="str">
        <f>""</f>
        <v/>
      </c>
      <c r="F2392" t="str">
        <f>""</f>
        <v/>
      </c>
      <c r="H2392" t="str">
        <f>"TASC HRA"</f>
        <v>TASC HRA</v>
      </c>
    </row>
    <row r="2393" spans="5:8" x14ac:dyDescent="0.25">
      <c r="E2393" t="str">
        <f>"HRA202009309112"</f>
        <v>HRA202009309112</v>
      </c>
      <c r="F2393" t="str">
        <f>"TASC HRA"</f>
        <v>TASC HRA</v>
      </c>
      <c r="G2393" s="1">
        <v>8000</v>
      </c>
      <c r="H2393" t="str">
        <f>"TASC HRA"</f>
        <v>TASC HRA</v>
      </c>
    </row>
    <row r="2394" spans="5:8" x14ac:dyDescent="0.25">
      <c r="E2394" t="str">
        <f>"HRF202009309111"</f>
        <v>HRF202009309111</v>
      </c>
      <c r="F2394" t="str">
        <f>"TASC - HRA FEES"</f>
        <v>TASC - HRA FEES</v>
      </c>
      <c r="G2394" s="1">
        <v>788.4</v>
      </c>
      <c r="H2394" t="str">
        <f>"TASC - HRA FEES"</f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>"TASC - HRA FEES"</f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>"TASC - HRA FEES"</f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>"TASC - HRA FEES"</f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>"TASC - HRA FEES"</f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>"TASC - HRA FEES"</f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>"TASC - HRA FEES"</f>
        <v>TASC - HRA FEES</v>
      </c>
    </row>
    <row r="2401" spans="5:8" x14ac:dyDescent="0.25">
      <c r="E2401" t="str">
        <f>""</f>
        <v/>
      </c>
      <c r="F2401" t="str">
        <f>""</f>
        <v/>
      </c>
      <c r="H2401" t="str">
        <f>"TASC - HRA FEES"</f>
        <v>TASC - HRA FEES</v>
      </c>
    </row>
    <row r="2402" spans="5:8" x14ac:dyDescent="0.25">
      <c r="E2402" t="str">
        <f>""</f>
        <v/>
      </c>
      <c r="F2402" t="str">
        <f>""</f>
        <v/>
      </c>
      <c r="H2402" t="str">
        <f>"TASC - HRA FEES"</f>
        <v>TASC - HRA FEES</v>
      </c>
    </row>
    <row r="2403" spans="5:8" x14ac:dyDescent="0.25">
      <c r="E2403" t="str">
        <f>""</f>
        <v/>
      </c>
      <c r="F2403" t="str">
        <f>""</f>
        <v/>
      </c>
      <c r="H2403" t="str">
        <f>"TASC - HRA FEES"</f>
        <v>TASC - HRA FEES</v>
      </c>
    </row>
    <row r="2404" spans="5:8" x14ac:dyDescent="0.25">
      <c r="E2404" t="str">
        <f>""</f>
        <v/>
      </c>
      <c r="F2404" t="str">
        <f>""</f>
        <v/>
      </c>
      <c r="H2404" t="str">
        <f>"TASC - HRA FEES"</f>
        <v>TASC - HRA FEES</v>
      </c>
    </row>
    <row r="2405" spans="5:8" x14ac:dyDescent="0.25">
      <c r="E2405" t="str">
        <f>""</f>
        <v/>
      </c>
      <c r="F2405" t="str">
        <f>""</f>
        <v/>
      </c>
      <c r="H2405" t="str">
        <f>"TASC - HRA FEES"</f>
        <v>TASC - HRA FEES</v>
      </c>
    </row>
    <row r="2406" spans="5:8" x14ac:dyDescent="0.25">
      <c r="E2406" t="str">
        <f>""</f>
        <v/>
      </c>
      <c r="F2406" t="str">
        <f>""</f>
        <v/>
      </c>
      <c r="H2406" t="str">
        <f>"TASC - HRA FEES"</f>
        <v>TASC - HRA FEES</v>
      </c>
    </row>
    <row r="2407" spans="5:8" x14ac:dyDescent="0.25">
      <c r="E2407" t="str">
        <f>""</f>
        <v/>
      </c>
      <c r="F2407" t="str">
        <f>""</f>
        <v/>
      </c>
      <c r="H2407" t="str">
        <f>"TASC - HRA FEES"</f>
        <v>TASC - HRA FEES</v>
      </c>
    </row>
    <row r="2408" spans="5:8" x14ac:dyDescent="0.25">
      <c r="E2408" t="str">
        <f>""</f>
        <v/>
      </c>
      <c r="F2408" t="str">
        <f>""</f>
        <v/>
      </c>
      <c r="H2408" t="str">
        <f>"TASC - HRA FEES"</f>
        <v>TASC - HRA FEES</v>
      </c>
    </row>
    <row r="2409" spans="5:8" x14ac:dyDescent="0.25">
      <c r="E2409" t="str">
        <f>""</f>
        <v/>
      </c>
      <c r="F2409" t="str">
        <f>""</f>
        <v/>
      </c>
      <c r="H2409" t="str">
        <f>"TASC - HRA FEES"</f>
        <v>TASC - HRA FEES</v>
      </c>
    </row>
    <row r="2410" spans="5:8" x14ac:dyDescent="0.25">
      <c r="E2410" t="str">
        <f>""</f>
        <v/>
      </c>
      <c r="F2410" t="str">
        <f>""</f>
        <v/>
      </c>
      <c r="H2410" t="str">
        <f>"TASC - HRA FEES"</f>
        <v>TASC - HRA FEES</v>
      </c>
    </row>
    <row r="2411" spans="5:8" x14ac:dyDescent="0.25">
      <c r="E2411" t="str">
        <f>""</f>
        <v/>
      </c>
      <c r="F2411" t="str">
        <f>""</f>
        <v/>
      </c>
      <c r="H2411" t="str">
        <f>"TASC - HRA FEES"</f>
        <v>TASC - HRA FEES</v>
      </c>
    </row>
    <row r="2412" spans="5:8" x14ac:dyDescent="0.25">
      <c r="E2412" t="str">
        <f>""</f>
        <v/>
      </c>
      <c r="F2412" t="str">
        <f>""</f>
        <v/>
      </c>
      <c r="H2412" t="str">
        <f>"TASC - HRA FEES"</f>
        <v>TASC - HRA FEES</v>
      </c>
    </row>
    <row r="2413" spans="5:8" x14ac:dyDescent="0.25">
      <c r="E2413" t="str">
        <f>""</f>
        <v/>
      </c>
      <c r="F2413" t="str">
        <f>""</f>
        <v/>
      </c>
      <c r="H2413" t="str">
        <f>"TASC - HRA FEES"</f>
        <v>TASC - HRA FEES</v>
      </c>
    </row>
    <row r="2414" spans="5:8" x14ac:dyDescent="0.25">
      <c r="E2414" t="str">
        <f>""</f>
        <v/>
      </c>
      <c r="F2414" t="str">
        <f>""</f>
        <v/>
      </c>
      <c r="H2414" t="str">
        <f>"TASC - HRA FEES"</f>
        <v>TASC - HRA FEES</v>
      </c>
    </row>
    <row r="2415" spans="5:8" x14ac:dyDescent="0.25">
      <c r="E2415" t="str">
        <f>""</f>
        <v/>
      </c>
      <c r="F2415" t="str">
        <f>""</f>
        <v/>
      </c>
      <c r="H2415" t="str">
        <f>"TASC - HRA FEES"</f>
        <v>TASC - HRA FEES</v>
      </c>
    </row>
    <row r="2416" spans="5:8" x14ac:dyDescent="0.25">
      <c r="E2416" t="str">
        <f>""</f>
        <v/>
      </c>
      <c r="F2416" t="str">
        <f>""</f>
        <v/>
      </c>
      <c r="H2416" t="str">
        <f>"TASC - HRA FEES"</f>
        <v>TASC - HRA FEES</v>
      </c>
    </row>
    <row r="2417" spans="5:8" x14ac:dyDescent="0.25">
      <c r="E2417" t="str">
        <f>""</f>
        <v/>
      </c>
      <c r="F2417" t="str">
        <f>""</f>
        <v/>
      </c>
      <c r="H2417" t="str">
        <f>"TASC - HRA FEES"</f>
        <v>TASC - HRA FEES</v>
      </c>
    </row>
    <row r="2418" spans="5:8" x14ac:dyDescent="0.25">
      <c r="E2418" t="str">
        <f>""</f>
        <v/>
      </c>
      <c r="F2418" t="str">
        <f>""</f>
        <v/>
      </c>
      <c r="H2418" t="str">
        <f>"TASC - HRA FEES"</f>
        <v>TASC - HRA FEES</v>
      </c>
    </row>
    <row r="2419" spans="5:8" x14ac:dyDescent="0.25">
      <c r="E2419" t="str">
        <f>""</f>
        <v/>
      </c>
      <c r="F2419" t="str">
        <f>""</f>
        <v/>
      </c>
      <c r="H2419" t="str">
        <f>"TASC - HRA FEES"</f>
        <v>TASC - HRA FEES</v>
      </c>
    </row>
    <row r="2420" spans="5:8" x14ac:dyDescent="0.25">
      <c r="E2420" t="str">
        <f>""</f>
        <v/>
      </c>
      <c r="F2420" t="str">
        <f>""</f>
        <v/>
      </c>
      <c r="H2420" t="str">
        <f>"TASC - HRA FEES"</f>
        <v>TASC - HRA FEES</v>
      </c>
    </row>
    <row r="2421" spans="5:8" x14ac:dyDescent="0.25">
      <c r="E2421" t="str">
        <f>""</f>
        <v/>
      </c>
      <c r="F2421" t="str">
        <f>""</f>
        <v/>
      </c>
      <c r="H2421" t="str">
        <f>"TASC - HRA FEES"</f>
        <v>TASC - HRA FEES</v>
      </c>
    </row>
    <row r="2422" spans="5:8" x14ac:dyDescent="0.25">
      <c r="E2422" t="str">
        <f>""</f>
        <v/>
      </c>
      <c r="F2422" t="str">
        <f>""</f>
        <v/>
      </c>
      <c r="H2422" t="str">
        <f>"TASC - HRA FEES"</f>
        <v>TASC - HRA FEES</v>
      </c>
    </row>
    <row r="2423" spans="5:8" x14ac:dyDescent="0.25">
      <c r="E2423" t="str">
        <f>""</f>
        <v/>
      </c>
      <c r="F2423" t="str">
        <f>""</f>
        <v/>
      </c>
      <c r="H2423" t="str">
        <f>"TASC - HRA FEES"</f>
        <v>TASC - HRA FEES</v>
      </c>
    </row>
    <row r="2424" spans="5:8" x14ac:dyDescent="0.25">
      <c r="E2424" t="str">
        <f>""</f>
        <v/>
      </c>
      <c r="F2424" t="str">
        <f>""</f>
        <v/>
      </c>
      <c r="H2424" t="str">
        <f>"TASC - HRA FEES"</f>
        <v>TASC - HRA FEES</v>
      </c>
    </row>
    <row r="2425" spans="5:8" x14ac:dyDescent="0.25">
      <c r="E2425" t="str">
        <f>""</f>
        <v/>
      </c>
      <c r="F2425" t="str">
        <f>""</f>
        <v/>
      </c>
      <c r="H2425" t="str">
        <f>"TASC - HRA FEES"</f>
        <v>TASC - HRA FEES</v>
      </c>
    </row>
    <row r="2426" spans="5:8" x14ac:dyDescent="0.25">
      <c r="E2426" t="str">
        <f>""</f>
        <v/>
      </c>
      <c r="F2426" t="str">
        <f>""</f>
        <v/>
      </c>
      <c r="H2426" t="str">
        <f>"TASC - HRA FEES"</f>
        <v>TASC - HRA FEES</v>
      </c>
    </row>
    <row r="2427" spans="5:8" x14ac:dyDescent="0.25">
      <c r="E2427" t="str">
        <f>""</f>
        <v/>
      </c>
      <c r="F2427" t="str">
        <f>""</f>
        <v/>
      </c>
      <c r="H2427" t="str">
        <f>"TASC - HRA FEES"</f>
        <v>TASC - HRA FEES</v>
      </c>
    </row>
    <row r="2428" spans="5:8" x14ac:dyDescent="0.25">
      <c r="E2428" t="str">
        <f>""</f>
        <v/>
      </c>
      <c r="F2428" t="str">
        <f>""</f>
        <v/>
      </c>
      <c r="H2428" t="str">
        <f>"TASC - HRA FEES"</f>
        <v>TASC - HRA FEES</v>
      </c>
    </row>
    <row r="2429" spans="5:8" x14ac:dyDescent="0.25">
      <c r="E2429" t="str">
        <f>""</f>
        <v/>
      </c>
      <c r="F2429" t="str">
        <f>""</f>
        <v/>
      </c>
      <c r="H2429" t="str">
        <f>"TASC - HRA FEES"</f>
        <v>TASC - HRA FEES</v>
      </c>
    </row>
    <row r="2430" spans="5:8" x14ac:dyDescent="0.25">
      <c r="E2430" t="str">
        <f>""</f>
        <v/>
      </c>
      <c r="F2430" t="str">
        <f>""</f>
        <v/>
      </c>
      <c r="H2430" t="str">
        <f>"TASC - HRA FEES"</f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>"TASC - HRA FEES"</f>
        <v>TASC - HRA FEES</v>
      </c>
    </row>
    <row r="2432" spans="5:8" x14ac:dyDescent="0.25">
      <c r="E2432" t="str">
        <f>""</f>
        <v/>
      </c>
      <c r="F2432" t="str">
        <f>""</f>
        <v/>
      </c>
      <c r="H2432" t="str">
        <f>"TASC - HRA FEES"</f>
        <v>TASC - HRA FEES</v>
      </c>
    </row>
    <row r="2433" spans="1:8" x14ac:dyDescent="0.25">
      <c r="E2433" t="str">
        <f>""</f>
        <v/>
      </c>
      <c r="F2433" t="str">
        <f>""</f>
        <v/>
      </c>
      <c r="H2433" t="str">
        <f>"TASC - HRA FEES"</f>
        <v>TASC - HRA FEES</v>
      </c>
    </row>
    <row r="2434" spans="1:8" x14ac:dyDescent="0.25">
      <c r="E2434" t="str">
        <f>""</f>
        <v/>
      </c>
      <c r="F2434" t="str">
        <f>""</f>
        <v/>
      </c>
      <c r="H2434" t="str">
        <f>"TASC - HRA FEES"</f>
        <v>TASC - HRA FEES</v>
      </c>
    </row>
    <row r="2435" spans="1:8" x14ac:dyDescent="0.25">
      <c r="E2435" t="str">
        <f>""</f>
        <v/>
      </c>
      <c r="F2435" t="str">
        <f>""</f>
        <v/>
      </c>
      <c r="H2435" t="str">
        <f>"TASC - HRA FEES"</f>
        <v>TASC - HRA FEES</v>
      </c>
    </row>
    <row r="2436" spans="1:8" x14ac:dyDescent="0.25">
      <c r="E2436" t="str">
        <f>""</f>
        <v/>
      </c>
      <c r="F2436" t="str">
        <f>""</f>
        <v/>
      </c>
      <c r="H2436" t="str">
        <f>"TASC - HRA FEES"</f>
        <v>TASC - HRA FEES</v>
      </c>
    </row>
    <row r="2437" spans="1:8" x14ac:dyDescent="0.25">
      <c r="E2437" t="str">
        <f>""</f>
        <v/>
      </c>
      <c r="F2437" t="str">
        <f>""</f>
        <v/>
      </c>
      <c r="H2437" t="str">
        <f>"TASC - HRA FEES"</f>
        <v>TASC - HRA FEES</v>
      </c>
    </row>
    <row r="2438" spans="1:8" x14ac:dyDescent="0.25">
      <c r="E2438" t="str">
        <f>""</f>
        <v/>
      </c>
      <c r="F2438" t="str">
        <f>""</f>
        <v/>
      </c>
      <c r="H2438" t="str">
        <f>"TASC - HRA FEES"</f>
        <v>TASC - HRA FEES</v>
      </c>
    </row>
    <row r="2439" spans="1:8" x14ac:dyDescent="0.25">
      <c r="E2439" t="str">
        <f>""</f>
        <v/>
      </c>
      <c r="F2439" t="str">
        <f>""</f>
        <v/>
      </c>
      <c r="H2439" t="str">
        <f>"TASC - HRA FEES"</f>
        <v>TASC - HRA FEES</v>
      </c>
    </row>
    <row r="2440" spans="1:8" x14ac:dyDescent="0.25">
      <c r="E2440" t="str">
        <f>""</f>
        <v/>
      </c>
      <c r="F2440" t="str">
        <f>""</f>
        <v/>
      </c>
      <c r="H2440" t="str">
        <f>"TASC - HRA FEES"</f>
        <v>TASC - HRA FEES</v>
      </c>
    </row>
    <row r="2441" spans="1:8" x14ac:dyDescent="0.25">
      <c r="E2441" t="str">
        <f>""</f>
        <v/>
      </c>
      <c r="F2441" t="str">
        <f>""</f>
        <v/>
      </c>
      <c r="H2441" t="str">
        <f>"TASC - HRA FEES"</f>
        <v>TASC - HRA FEES</v>
      </c>
    </row>
    <row r="2442" spans="1:8" x14ac:dyDescent="0.25">
      <c r="E2442" t="str">
        <f>""</f>
        <v/>
      </c>
      <c r="F2442" t="str">
        <f>""</f>
        <v/>
      </c>
      <c r="H2442" t="str">
        <f>"TASC - HRA FEES"</f>
        <v>TASC - HRA FEES</v>
      </c>
    </row>
    <row r="2443" spans="1:8" x14ac:dyDescent="0.25">
      <c r="E2443" t="str">
        <f>""</f>
        <v/>
      </c>
      <c r="F2443" t="str">
        <f>""</f>
        <v/>
      </c>
      <c r="H2443" t="str">
        <f>"TASC - HRA FEES"</f>
        <v>TASC - HRA FEES</v>
      </c>
    </row>
    <row r="2444" spans="1:8" x14ac:dyDescent="0.25">
      <c r="E2444" t="str">
        <f>""</f>
        <v/>
      </c>
      <c r="F2444" t="str">
        <f>""</f>
        <v/>
      </c>
      <c r="H2444" t="str">
        <f>"TASC - HRA FEES"</f>
        <v>TASC - HRA FEES</v>
      </c>
    </row>
    <row r="2445" spans="1:8" x14ac:dyDescent="0.25">
      <c r="E2445" t="str">
        <f>"HRF202009309112"</f>
        <v>HRF202009309112</v>
      </c>
      <c r="F2445" t="str">
        <f>"TASC - HRA FEES"</f>
        <v>TASC - HRA FEES</v>
      </c>
      <c r="G2445" s="1">
        <v>30.6</v>
      </c>
      <c r="H2445" t="str">
        <f>"TASC - HRA FEES"</f>
        <v>TASC - HRA FEES</v>
      </c>
    </row>
    <row r="2446" spans="1:8" x14ac:dyDescent="0.25">
      <c r="A2446" t="s">
        <v>3</v>
      </c>
      <c r="B2446">
        <v>748</v>
      </c>
      <c r="C2446" s="1">
        <v>8724.86</v>
      </c>
      <c r="D2446" s="3">
        <v>44120</v>
      </c>
      <c r="E2446" t="str">
        <f>"FSA202010149551"</f>
        <v>FSA202010149551</v>
      </c>
      <c r="F2446" t="str">
        <f>"TASC FSA"</f>
        <v>TASC FSA</v>
      </c>
      <c r="G2446" s="1">
        <v>7162.34</v>
      </c>
      <c r="H2446" t="str">
        <f>"TASC FSA"</f>
        <v>TASC FSA</v>
      </c>
    </row>
    <row r="2447" spans="1:8" x14ac:dyDescent="0.25">
      <c r="E2447" t="str">
        <f>"FSA202010149552"</f>
        <v>FSA202010149552</v>
      </c>
      <c r="F2447" t="str">
        <f>"TASC FSA"</f>
        <v>TASC FSA</v>
      </c>
      <c r="G2447" s="1">
        <v>443.32</v>
      </c>
      <c r="H2447" t="str">
        <f>"TASC FSA"</f>
        <v>TASC FSA</v>
      </c>
    </row>
    <row r="2448" spans="1:8" x14ac:dyDescent="0.25">
      <c r="E2448" t="str">
        <f>"FSC202010149551"</f>
        <v>FSC202010149551</v>
      </c>
      <c r="F2448" t="str">
        <f>"TASC DEPENDENT CARE"</f>
        <v>TASC DEPENDENT CARE</v>
      </c>
      <c r="G2448" s="1">
        <v>50</v>
      </c>
      <c r="H2448" t="str">
        <f>"TASC DEPENDENT CARE"</f>
        <v>TASC DEPENDENT CARE</v>
      </c>
    </row>
    <row r="2449" spans="5:8" x14ac:dyDescent="0.25">
      <c r="E2449" t="str">
        <f>"FSF202010149551"</f>
        <v>FSF202010149551</v>
      </c>
      <c r="F2449" t="str">
        <f>"TASC - FSA  FEES"</f>
        <v>TASC - FSA  FEES</v>
      </c>
      <c r="G2449" s="1">
        <v>241.2</v>
      </c>
      <c r="H2449" t="str">
        <f>"TASC - FSA  FEES"</f>
        <v>TASC - FSA  FEES</v>
      </c>
    </row>
    <row r="2450" spans="5:8" x14ac:dyDescent="0.25">
      <c r="E2450" t="str">
        <f>""</f>
        <v/>
      </c>
      <c r="F2450" t="str">
        <f>""</f>
        <v/>
      </c>
      <c r="H2450" t="str">
        <f>"TASC - FSA  FEES"</f>
        <v>TASC - FSA  FEES</v>
      </c>
    </row>
    <row r="2451" spans="5:8" x14ac:dyDescent="0.25">
      <c r="E2451" t="str">
        <f>""</f>
        <v/>
      </c>
      <c r="F2451" t="str">
        <f>""</f>
        <v/>
      </c>
      <c r="H2451" t="str">
        <f>"TASC - FSA  FEES"</f>
        <v>TASC - FSA  FEES</v>
      </c>
    </row>
    <row r="2452" spans="5:8" x14ac:dyDescent="0.25">
      <c r="E2452" t="str">
        <f>""</f>
        <v/>
      </c>
      <c r="F2452" t="str">
        <f>""</f>
        <v/>
      </c>
      <c r="H2452" t="str">
        <f>"TASC - FSA  FEES"</f>
        <v>TASC - FSA  FEES</v>
      </c>
    </row>
    <row r="2453" spans="5:8" x14ac:dyDescent="0.25">
      <c r="E2453" t="str">
        <f>""</f>
        <v/>
      </c>
      <c r="F2453" t="str">
        <f>""</f>
        <v/>
      </c>
      <c r="H2453" t="str">
        <f>"TASC - FSA  FEES"</f>
        <v>TASC - FSA  FEES</v>
      </c>
    </row>
    <row r="2454" spans="5:8" x14ac:dyDescent="0.25">
      <c r="E2454" t="str">
        <f>""</f>
        <v/>
      </c>
      <c r="F2454" t="str">
        <f>""</f>
        <v/>
      </c>
      <c r="H2454" t="str">
        <f>"TASC - FSA  FEES"</f>
        <v>TASC - FSA  FEES</v>
      </c>
    </row>
    <row r="2455" spans="5:8" x14ac:dyDescent="0.25">
      <c r="E2455" t="str">
        <f>""</f>
        <v/>
      </c>
      <c r="F2455" t="str">
        <f>""</f>
        <v/>
      </c>
      <c r="H2455" t="str">
        <f>"TASC - FSA  FEES"</f>
        <v>TASC - FSA  FEES</v>
      </c>
    </row>
    <row r="2456" spans="5:8" x14ac:dyDescent="0.25">
      <c r="E2456" t="str">
        <f>""</f>
        <v/>
      </c>
      <c r="F2456" t="str">
        <f>""</f>
        <v/>
      </c>
      <c r="H2456" t="str">
        <f>"TASC - FSA  FEES"</f>
        <v>TASC - FSA  FEES</v>
      </c>
    </row>
    <row r="2457" spans="5:8" x14ac:dyDescent="0.25">
      <c r="E2457" t="str">
        <f>""</f>
        <v/>
      </c>
      <c r="F2457" t="str">
        <f>""</f>
        <v/>
      </c>
      <c r="H2457" t="str">
        <f>"TASC - FSA  FEES"</f>
        <v>TASC - FSA  FEES</v>
      </c>
    </row>
    <row r="2458" spans="5:8" x14ac:dyDescent="0.25">
      <c r="E2458" t="str">
        <f>""</f>
        <v/>
      </c>
      <c r="F2458" t="str">
        <f>""</f>
        <v/>
      </c>
      <c r="H2458" t="str">
        <f>"TASC - FSA  FEES"</f>
        <v>TASC - FSA  FEES</v>
      </c>
    </row>
    <row r="2459" spans="5:8" x14ac:dyDescent="0.25">
      <c r="E2459" t="str">
        <f>""</f>
        <v/>
      </c>
      <c r="F2459" t="str">
        <f>""</f>
        <v/>
      </c>
      <c r="H2459" t="str">
        <f>"TASC - FSA  FEES"</f>
        <v>TASC - FSA  FEES</v>
      </c>
    </row>
    <row r="2460" spans="5:8" x14ac:dyDescent="0.25">
      <c r="E2460" t="str">
        <f>""</f>
        <v/>
      </c>
      <c r="F2460" t="str">
        <f>""</f>
        <v/>
      </c>
      <c r="H2460" t="str">
        <f>"TASC - FSA  FEES"</f>
        <v>TASC - FSA  FEES</v>
      </c>
    </row>
    <row r="2461" spans="5:8" x14ac:dyDescent="0.25">
      <c r="E2461" t="str">
        <f>""</f>
        <v/>
      </c>
      <c r="F2461" t="str">
        <f>""</f>
        <v/>
      </c>
      <c r="H2461" t="str">
        <f>"TASC - FSA  FEES"</f>
        <v>TASC - FSA  FEES</v>
      </c>
    </row>
    <row r="2462" spans="5:8" x14ac:dyDescent="0.25">
      <c r="E2462" t="str">
        <f>""</f>
        <v/>
      </c>
      <c r="F2462" t="str">
        <f>""</f>
        <v/>
      </c>
      <c r="H2462" t="str">
        <f>"TASC - FSA  FEES"</f>
        <v>TASC - FSA  FEES</v>
      </c>
    </row>
    <row r="2463" spans="5:8" x14ac:dyDescent="0.25">
      <c r="E2463" t="str">
        <f>""</f>
        <v/>
      </c>
      <c r="F2463" t="str">
        <f>""</f>
        <v/>
      </c>
      <c r="H2463" t="str">
        <f>"TASC - FSA  FEES"</f>
        <v>TASC - FSA  FEES</v>
      </c>
    </row>
    <row r="2464" spans="5:8" x14ac:dyDescent="0.25">
      <c r="E2464" t="str">
        <f>""</f>
        <v/>
      </c>
      <c r="F2464" t="str">
        <f>""</f>
        <v/>
      </c>
      <c r="H2464" t="str">
        <f>"TASC - FSA  FEES"</f>
        <v>TASC - FSA  FEES</v>
      </c>
    </row>
    <row r="2465" spans="5:8" x14ac:dyDescent="0.25">
      <c r="E2465" t="str">
        <f>""</f>
        <v/>
      </c>
      <c r="F2465" t="str">
        <f>""</f>
        <v/>
      </c>
      <c r="H2465" t="str">
        <f>"TASC - FSA  FEES"</f>
        <v>TASC - FSA  FEES</v>
      </c>
    </row>
    <row r="2466" spans="5:8" x14ac:dyDescent="0.25">
      <c r="E2466" t="str">
        <f>""</f>
        <v/>
      </c>
      <c r="F2466" t="str">
        <f>""</f>
        <v/>
      </c>
      <c r="H2466" t="str">
        <f>"TASC - FSA  FEES"</f>
        <v>TASC - FSA  FEES</v>
      </c>
    </row>
    <row r="2467" spans="5:8" x14ac:dyDescent="0.25">
      <c r="E2467" t="str">
        <f>""</f>
        <v/>
      </c>
      <c r="F2467" t="str">
        <f>""</f>
        <v/>
      </c>
      <c r="H2467" t="str">
        <f>"TASC - FSA  FEES"</f>
        <v>TASC - FSA  FEES</v>
      </c>
    </row>
    <row r="2468" spans="5:8" x14ac:dyDescent="0.25">
      <c r="E2468" t="str">
        <f>""</f>
        <v/>
      </c>
      <c r="F2468" t="str">
        <f>""</f>
        <v/>
      </c>
      <c r="H2468" t="str">
        <f>"TASC - FSA  FEES"</f>
        <v>TASC - FSA  FEES</v>
      </c>
    </row>
    <row r="2469" spans="5:8" x14ac:dyDescent="0.25">
      <c r="E2469" t="str">
        <f>""</f>
        <v/>
      </c>
      <c r="F2469" t="str">
        <f>""</f>
        <v/>
      </c>
      <c r="H2469" t="str">
        <f>"TASC - FSA  FEES"</f>
        <v>TASC - FSA  FEES</v>
      </c>
    </row>
    <row r="2470" spans="5:8" x14ac:dyDescent="0.25">
      <c r="E2470" t="str">
        <f>""</f>
        <v/>
      </c>
      <c r="F2470" t="str">
        <f>""</f>
        <v/>
      </c>
      <c r="H2470" t="str">
        <f>"TASC - FSA  FEES"</f>
        <v>TASC - FSA  FEES</v>
      </c>
    </row>
    <row r="2471" spans="5:8" x14ac:dyDescent="0.25">
      <c r="E2471" t="str">
        <f>""</f>
        <v/>
      </c>
      <c r="F2471" t="str">
        <f>""</f>
        <v/>
      </c>
      <c r="H2471" t="str">
        <f>"TASC - FSA  FEES"</f>
        <v>TASC - FSA  FEES</v>
      </c>
    </row>
    <row r="2472" spans="5:8" x14ac:dyDescent="0.25">
      <c r="E2472" t="str">
        <f>""</f>
        <v/>
      </c>
      <c r="F2472" t="str">
        <f>""</f>
        <v/>
      </c>
      <c r="H2472" t="str">
        <f>"TASC - FSA  FEES"</f>
        <v>TASC - FSA  FEES</v>
      </c>
    </row>
    <row r="2473" spans="5:8" x14ac:dyDescent="0.25">
      <c r="E2473" t="str">
        <f>""</f>
        <v/>
      </c>
      <c r="F2473" t="str">
        <f>""</f>
        <v/>
      </c>
      <c r="H2473" t="str">
        <f>"TASC - FSA  FEES"</f>
        <v>TASC - FSA  FEES</v>
      </c>
    </row>
    <row r="2474" spans="5:8" x14ac:dyDescent="0.25">
      <c r="E2474" t="str">
        <f>""</f>
        <v/>
      </c>
      <c r="F2474" t="str">
        <f>""</f>
        <v/>
      </c>
      <c r="H2474" t="str">
        <f>"TASC - FSA  FEES"</f>
        <v>TASC - FSA  FEES</v>
      </c>
    </row>
    <row r="2475" spans="5:8" x14ac:dyDescent="0.25">
      <c r="E2475" t="str">
        <f>""</f>
        <v/>
      </c>
      <c r="F2475" t="str">
        <f>""</f>
        <v/>
      </c>
      <c r="H2475" t="str">
        <f>"TASC - FSA  FEES"</f>
        <v>TASC - FSA  FEES</v>
      </c>
    </row>
    <row r="2476" spans="5:8" x14ac:dyDescent="0.25">
      <c r="E2476" t="str">
        <f>""</f>
        <v/>
      </c>
      <c r="F2476" t="str">
        <f>""</f>
        <v/>
      </c>
      <c r="H2476" t="str">
        <f>"TASC - FSA  FEES"</f>
        <v>TASC - FSA  FEES</v>
      </c>
    </row>
    <row r="2477" spans="5:8" x14ac:dyDescent="0.25">
      <c r="E2477" t="str">
        <f>""</f>
        <v/>
      </c>
      <c r="F2477" t="str">
        <f>""</f>
        <v/>
      </c>
      <c r="H2477" t="str">
        <f>"TASC - FSA  FEES"</f>
        <v>TASC - FSA  FEES</v>
      </c>
    </row>
    <row r="2478" spans="5:8" x14ac:dyDescent="0.25">
      <c r="E2478" t="str">
        <f>""</f>
        <v/>
      </c>
      <c r="F2478" t="str">
        <f>""</f>
        <v/>
      </c>
      <c r="H2478" t="str">
        <f>"TASC - FSA  FEES"</f>
        <v>TASC - FSA  FEES</v>
      </c>
    </row>
    <row r="2479" spans="5:8" x14ac:dyDescent="0.25">
      <c r="E2479" t="str">
        <f>""</f>
        <v/>
      </c>
      <c r="F2479" t="str">
        <f>""</f>
        <v/>
      </c>
      <c r="H2479" t="str">
        <f>"TASC - FSA  FEES"</f>
        <v>TASC - FSA  FEES</v>
      </c>
    </row>
    <row r="2480" spans="5:8" x14ac:dyDescent="0.25">
      <c r="E2480" t="str">
        <f>""</f>
        <v/>
      </c>
      <c r="F2480" t="str">
        <f>""</f>
        <v/>
      </c>
      <c r="H2480" t="str">
        <f>"TASC - FSA  FEES"</f>
        <v>TASC - FSA  FEES</v>
      </c>
    </row>
    <row r="2481" spans="5:8" x14ac:dyDescent="0.25">
      <c r="E2481" t="str">
        <f>""</f>
        <v/>
      </c>
      <c r="F2481" t="str">
        <f>""</f>
        <v/>
      </c>
      <c r="H2481" t="str">
        <f>"TASC - FSA  FEES"</f>
        <v>TASC - FSA  FEES</v>
      </c>
    </row>
    <row r="2482" spans="5:8" x14ac:dyDescent="0.25">
      <c r="E2482" t="str">
        <f>""</f>
        <v/>
      </c>
      <c r="F2482" t="str">
        <f>""</f>
        <v/>
      </c>
      <c r="H2482" t="str">
        <f>"TASC - FSA  FEES"</f>
        <v>TASC - FSA  FEES</v>
      </c>
    </row>
    <row r="2483" spans="5:8" x14ac:dyDescent="0.25">
      <c r="E2483" t="str">
        <f>""</f>
        <v/>
      </c>
      <c r="F2483" t="str">
        <f>""</f>
        <v/>
      </c>
      <c r="H2483" t="str">
        <f>"TASC - FSA  FEES"</f>
        <v>TASC - FSA  FEES</v>
      </c>
    </row>
    <row r="2484" spans="5:8" x14ac:dyDescent="0.25">
      <c r="E2484" t="str">
        <f>""</f>
        <v/>
      </c>
      <c r="F2484" t="str">
        <f>""</f>
        <v/>
      </c>
      <c r="H2484" t="str">
        <f>"TASC - FSA  FEES"</f>
        <v>TASC - FSA  FEES</v>
      </c>
    </row>
    <row r="2485" spans="5:8" x14ac:dyDescent="0.25">
      <c r="E2485" t="str">
        <f>""</f>
        <v/>
      </c>
      <c r="F2485" t="str">
        <f>""</f>
        <v/>
      </c>
      <c r="H2485" t="str">
        <f>"TASC - FSA  FEES"</f>
        <v>TASC - FSA  FEES</v>
      </c>
    </row>
    <row r="2486" spans="5:8" x14ac:dyDescent="0.25">
      <c r="E2486" t="str">
        <f>""</f>
        <v/>
      </c>
      <c r="F2486" t="str">
        <f>""</f>
        <v/>
      </c>
      <c r="H2486" t="str">
        <f>"TASC - FSA  FEES"</f>
        <v>TASC - FSA  FEES</v>
      </c>
    </row>
    <row r="2487" spans="5:8" x14ac:dyDescent="0.25">
      <c r="E2487" t="str">
        <f>""</f>
        <v/>
      </c>
      <c r="F2487" t="str">
        <f>""</f>
        <v/>
      </c>
      <c r="H2487" t="str">
        <f>"TASC - FSA  FEES"</f>
        <v>TASC - FSA  FEES</v>
      </c>
    </row>
    <row r="2488" spans="5:8" x14ac:dyDescent="0.25">
      <c r="E2488" t="str">
        <f>"FSF202010149552"</f>
        <v>FSF202010149552</v>
      </c>
      <c r="F2488" t="str">
        <f>"TASC - FSA  FEES"</f>
        <v>TASC - FSA  FEES</v>
      </c>
      <c r="G2488" s="1">
        <v>12.6</v>
      </c>
      <c r="H2488" t="str">
        <f>"TASC - FSA  FEES"</f>
        <v>TASC - FSA  FEES</v>
      </c>
    </row>
    <row r="2489" spans="5:8" x14ac:dyDescent="0.25">
      <c r="E2489" t="str">
        <f>"HRF202010149551"</f>
        <v>HRF202010149551</v>
      </c>
      <c r="F2489" t="str">
        <f>"TASC - HRA FEES"</f>
        <v>TASC - HRA FEES</v>
      </c>
      <c r="G2489" s="1">
        <v>788.4</v>
      </c>
      <c r="H2489" t="str">
        <f>"TASC - HRA FEES"</f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>"TASC - HRA FEES"</f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>"TASC - HRA FEES"</f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>"TASC - HRA FEES"</f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>"TASC - HRA FEES"</f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>"TASC - HRA FEES"</f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>"TASC - HRA FEES"</f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>"TASC - HRA FEES"</f>
        <v>TASC - HRA FEES</v>
      </c>
    </row>
    <row r="2497" spans="5:8" x14ac:dyDescent="0.25">
      <c r="E2497" t="str">
        <f>""</f>
        <v/>
      </c>
      <c r="F2497" t="str">
        <f>""</f>
        <v/>
      </c>
      <c r="H2497" t="str">
        <f>"TASC - HRA FEES"</f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>"TASC - HRA FEES"</f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>"TASC - HRA FEES"</f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>"TASC - HRA FEES"</f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>"TASC - HRA FEES"</f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>"TASC - HRA FEES"</f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>"TASC - HRA FEES"</f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>"TASC - HRA FEES"</f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>"TASC - HRA FEES"</f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>"TASC - HRA FEES"</f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>"TASC - HRA FEES"</f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>"TASC - HRA FEES"</f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>"TASC - HRA FEES"</f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>"TASC - HRA FEES"</f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>"TASC - HRA FEES"</f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>"TASC - HRA FEES"</f>
        <v>TASC - HRA FEES</v>
      </c>
    </row>
    <row r="2513" spans="5:8" x14ac:dyDescent="0.25">
      <c r="E2513" t="str">
        <f>""</f>
        <v/>
      </c>
      <c r="F2513" t="str">
        <f>""</f>
        <v/>
      </c>
      <c r="H2513" t="str">
        <f>"TASC - HRA FEES"</f>
        <v>TASC - HRA FEES</v>
      </c>
    </row>
    <row r="2514" spans="5:8" x14ac:dyDescent="0.25">
      <c r="E2514" t="str">
        <f>""</f>
        <v/>
      </c>
      <c r="F2514" t="str">
        <f>""</f>
        <v/>
      </c>
      <c r="H2514" t="str">
        <f>"TASC - HRA FEES"</f>
        <v>TASC - HRA FEES</v>
      </c>
    </row>
    <row r="2515" spans="5:8" x14ac:dyDescent="0.25">
      <c r="E2515" t="str">
        <f>""</f>
        <v/>
      </c>
      <c r="F2515" t="str">
        <f>""</f>
        <v/>
      </c>
      <c r="H2515" t="str">
        <f>"TASC - HRA FEES"</f>
        <v>TASC - HRA FEES</v>
      </c>
    </row>
    <row r="2516" spans="5:8" x14ac:dyDescent="0.25">
      <c r="E2516" t="str">
        <f>""</f>
        <v/>
      </c>
      <c r="F2516" t="str">
        <f>""</f>
        <v/>
      </c>
      <c r="H2516" t="str">
        <f>"TASC - HRA FEES"</f>
        <v>TASC - HRA FEES</v>
      </c>
    </row>
    <row r="2517" spans="5:8" x14ac:dyDescent="0.25">
      <c r="E2517" t="str">
        <f>""</f>
        <v/>
      </c>
      <c r="F2517" t="str">
        <f>""</f>
        <v/>
      </c>
      <c r="H2517" t="str">
        <f>"TASC - HRA FEES"</f>
        <v>TASC - HRA FEES</v>
      </c>
    </row>
    <row r="2518" spans="5:8" x14ac:dyDescent="0.25">
      <c r="E2518" t="str">
        <f>""</f>
        <v/>
      </c>
      <c r="F2518" t="str">
        <f>""</f>
        <v/>
      </c>
      <c r="H2518" t="str">
        <f>"TASC - HRA FEES"</f>
        <v>TASC - HRA FEES</v>
      </c>
    </row>
    <row r="2519" spans="5:8" x14ac:dyDescent="0.25">
      <c r="E2519" t="str">
        <f>""</f>
        <v/>
      </c>
      <c r="F2519" t="str">
        <f>""</f>
        <v/>
      </c>
      <c r="H2519" t="str">
        <f>"TASC - HRA FEES"</f>
        <v>TASC - HRA FEES</v>
      </c>
    </row>
    <row r="2520" spans="5:8" x14ac:dyDescent="0.25">
      <c r="E2520" t="str">
        <f>""</f>
        <v/>
      </c>
      <c r="F2520" t="str">
        <f>""</f>
        <v/>
      </c>
      <c r="H2520" t="str">
        <f>"TASC - HRA FEES"</f>
        <v>TASC - HRA FEES</v>
      </c>
    </row>
    <row r="2521" spans="5:8" x14ac:dyDescent="0.25">
      <c r="E2521" t="str">
        <f>""</f>
        <v/>
      </c>
      <c r="F2521" t="str">
        <f>""</f>
        <v/>
      </c>
      <c r="H2521" t="str">
        <f>"TASC - HRA FEES"</f>
        <v>TASC - HRA FEES</v>
      </c>
    </row>
    <row r="2522" spans="5:8" x14ac:dyDescent="0.25">
      <c r="E2522" t="str">
        <f>""</f>
        <v/>
      </c>
      <c r="F2522" t="str">
        <f>""</f>
        <v/>
      </c>
      <c r="H2522" t="str">
        <f>"TASC - HRA FEES"</f>
        <v>TASC - HRA FEES</v>
      </c>
    </row>
    <row r="2523" spans="5:8" x14ac:dyDescent="0.25">
      <c r="E2523" t="str">
        <f>""</f>
        <v/>
      </c>
      <c r="F2523" t="str">
        <f>""</f>
        <v/>
      </c>
      <c r="H2523" t="str">
        <f>"TASC - HRA FEES"</f>
        <v>TASC - HRA FEES</v>
      </c>
    </row>
    <row r="2524" spans="5:8" x14ac:dyDescent="0.25">
      <c r="E2524" t="str">
        <f>""</f>
        <v/>
      </c>
      <c r="F2524" t="str">
        <f>""</f>
        <v/>
      </c>
      <c r="H2524" t="str">
        <f>"TASC - HRA FEES"</f>
        <v>TASC - HRA FEES</v>
      </c>
    </row>
    <row r="2525" spans="5:8" x14ac:dyDescent="0.25">
      <c r="E2525" t="str">
        <f>""</f>
        <v/>
      </c>
      <c r="F2525" t="str">
        <f>""</f>
        <v/>
      </c>
      <c r="H2525" t="str">
        <f>"TASC - HRA FEES"</f>
        <v>TASC - HRA FEES</v>
      </c>
    </row>
    <row r="2526" spans="5:8" x14ac:dyDescent="0.25">
      <c r="E2526" t="str">
        <f>""</f>
        <v/>
      </c>
      <c r="F2526" t="str">
        <f>""</f>
        <v/>
      </c>
      <c r="H2526" t="str">
        <f>"TASC - HRA FEES"</f>
        <v>TASC - HRA FEES</v>
      </c>
    </row>
    <row r="2527" spans="5:8" x14ac:dyDescent="0.25">
      <c r="E2527" t="str">
        <f>""</f>
        <v/>
      </c>
      <c r="F2527" t="str">
        <f>""</f>
        <v/>
      </c>
      <c r="H2527" t="str">
        <f>"TASC - HRA FEES"</f>
        <v>TASC - HRA FEES</v>
      </c>
    </row>
    <row r="2528" spans="5:8" x14ac:dyDescent="0.25">
      <c r="E2528" t="str">
        <f>""</f>
        <v/>
      </c>
      <c r="F2528" t="str">
        <f>""</f>
        <v/>
      </c>
      <c r="H2528" t="str">
        <f>"TASC - HRA FEES"</f>
        <v>TASC - HRA FEES</v>
      </c>
    </row>
    <row r="2529" spans="1:8" x14ac:dyDescent="0.25">
      <c r="E2529" t="str">
        <f>""</f>
        <v/>
      </c>
      <c r="F2529" t="str">
        <f>""</f>
        <v/>
      </c>
      <c r="H2529" t="str">
        <f>"TASC - HRA FEES"</f>
        <v>TASC - HRA FEES</v>
      </c>
    </row>
    <row r="2530" spans="1:8" x14ac:dyDescent="0.25">
      <c r="E2530" t="str">
        <f>""</f>
        <v/>
      </c>
      <c r="F2530" t="str">
        <f>""</f>
        <v/>
      </c>
      <c r="H2530" t="str">
        <f>"TASC - HRA FEES"</f>
        <v>TASC - HRA FEES</v>
      </c>
    </row>
    <row r="2531" spans="1:8" x14ac:dyDescent="0.25">
      <c r="E2531" t="str">
        <f>""</f>
        <v/>
      </c>
      <c r="F2531" t="str">
        <f>""</f>
        <v/>
      </c>
      <c r="H2531" t="str">
        <f>"TASC - HRA FEES"</f>
        <v>TASC - HRA FEES</v>
      </c>
    </row>
    <row r="2532" spans="1:8" x14ac:dyDescent="0.25">
      <c r="E2532" t="str">
        <f>""</f>
        <v/>
      </c>
      <c r="F2532" t="str">
        <f>""</f>
        <v/>
      </c>
      <c r="H2532" t="str">
        <f>"TASC - HRA FEES"</f>
        <v>TASC - HRA FEES</v>
      </c>
    </row>
    <row r="2533" spans="1:8" x14ac:dyDescent="0.25">
      <c r="E2533" t="str">
        <f>""</f>
        <v/>
      </c>
      <c r="F2533" t="str">
        <f>""</f>
        <v/>
      </c>
      <c r="H2533" t="str">
        <f>"TASC - HRA FEES"</f>
        <v>TASC - HRA FEES</v>
      </c>
    </row>
    <row r="2534" spans="1:8" x14ac:dyDescent="0.25">
      <c r="E2534" t="str">
        <f>""</f>
        <v/>
      </c>
      <c r="F2534" t="str">
        <f>""</f>
        <v/>
      </c>
      <c r="H2534" t="str">
        <f>"TASC - HRA FEES"</f>
        <v>TASC - HRA FEES</v>
      </c>
    </row>
    <row r="2535" spans="1:8" x14ac:dyDescent="0.25">
      <c r="E2535" t="str">
        <f>""</f>
        <v/>
      </c>
      <c r="F2535" t="str">
        <f>""</f>
        <v/>
      </c>
      <c r="H2535" t="str">
        <f>"TASC - HRA FEES"</f>
        <v>TASC - HRA FEES</v>
      </c>
    </row>
    <row r="2536" spans="1:8" x14ac:dyDescent="0.25">
      <c r="E2536" t="str">
        <f>""</f>
        <v/>
      </c>
      <c r="F2536" t="str">
        <f>""</f>
        <v/>
      </c>
      <c r="H2536" t="str">
        <f>"TASC - HRA FEES"</f>
        <v>TASC - HRA FEES</v>
      </c>
    </row>
    <row r="2537" spans="1:8" x14ac:dyDescent="0.25">
      <c r="E2537" t="str">
        <f>""</f>
        <v/>
      </c>
      <c r="F2537" t="str">
        <f>""</f>
        <v/>
      </c>
      <c r="H2537" t="str">
        <f>"TASC - HRA FEES"</f>
        <v>TASC - HRA FEES</v>
      </c>
    </row>
    <row r="2538" spans="1:8" x14ac:dyDescent="0.25">
      <c r="E2538" t="str">
        <f>""</f>
        <v/>
      </c>
      <c r="F2538" t="str">
        <f>""</f>
        <v/>
      </c>
      <c r="H2538" t="str">
        <f>"TASC - HRA FEES"</f>
        <v>TASC - HRA FEES</v>
      </c>
    </row>
    <row r="2539" spans="1:8" x14ac:dyDescent="0.25">
      <c r="E2539" t="str">
        <f>""</f>
        <v/>
      </c>
      <c r="F2539" t="str">
        <f>""</f>
        <v/>
      </c>
      <c r="H2539" t="str">
        <f>"TASC - HRA FEES"</f>
        <v>TASC - HRA FEES</v>
      </c>
    </row>
    <row r="2540" spans="1:8" x14ac:dyDescent="0.25">
      <c r="E2540" t="str">
        <f>"HRF202010149552"</f>
        <v>HRF202010149552</v>
      </c>
      <c r="F2540" t="str">
        <f>"TASC - HRA FEES"</f>
        <v>TASC - HRA FEES</v>
      </c>
      <c r="G2540" s="1">
        <v>27</v>
      </c>
      <c r="H2540" t="str">
        <f>"TASC - HRA FEES"</f>
        <v>TASC - HRA FEES</v>
      </c>
    </row>
    <row r="2541" spans="1:8" x14ac:dyDescent="0.25">
      <c r="A2541" t="s">
        <v>2</v>
      </c>
      <c r="B2541">
        <v>729</v>
      </c>
      <c r="C2541" s="1">
        <v>4364.71</v>
      </c>
      <c r="D2541" s="3">
        <v>44106</v>
      </c>
      <c r="E2541" t="str">
        <f>"C2 202009309112"</f>
        <v>C2 202009309112</v>
      </c>
      <c r="F2541" t="str">
        <f>"0012982132CCL7445"</f>
        <v>0012982132CCL7445</v>
      </c>
      <c r="G2541" s="1">
        <v>692.31</v>
      </c>
      <c r="H2541" t="str">
        <f>"0012982132CCL7445"</f>
        <v>0012982132CCL7445</v>
      </c>
    </row>
    <row r="2542" spans="1:8" x14ac:dyDescent="0.25">
      <c r="E2542" t="str">
        <f>"C20202009309111"</f>
        <v>C20202009309111</v>
      </c>
      <c r="F2542" t="str">
        <f>"001003981107-12252"</f>
        <v>001003981107-12252</v>
      </c>
      <c r="G2542" s="1">
        <v>115.39</v>
      </c>
      <c r="H2542" t="str">
        <f>"001003981107-12252"</f>
        <v>001003981107-12252</v>
      </c>
    </row>
    <row r="2543" spans="1:8" x14ac:dyDescent="0.25">
      <c r="E2543" t="str">
        <f>"C42202009309111"</f>
        <v>C42202009309111</v>
      </c>
      <c r="F2543" t="str">
        <f>"001236769211-14410"</f>
        <v>001236769211-14410</v>
      </c>
      <c r="G2543" s="1">
        <v>230.31</v>
      </c>
      <c r="H2543" t="str">
        <f>"001236769211-14410"</f>
        <v>001236769211-14410</v>
      </c>
    </row>
    <row r="2544" spans="1:8" x14ac:dyDescent="0.25">
      <c r="E2544" t="str">
        <f>"C46202009309111"</f>
        <v>C46202009309111</v>
      </c>
      <c r="F2544" t="str">
        <f>"CAUSE# 11-14911"</f>
        <v>CAUSE# 11-14911</v>
      </c>
      <c r="G2544" s="1">
        <v>238.62</v>
      </c>
      <c r="H2544" t="str">
        <f>"CAUSE# 11-14911"</f>
        <v>CAUSE# 11-14911</v>
      </c>
    </row>
    <row r="2545" spans="1:8" x14ac:dyDescent="0.25">
      <c r="E2545" t="str">
        <f>"C60202009309111"</f>
        <v>C60202009309111</v>
      </c>
      <c r="F2545" t="str">
        <f>"00130730762012V300"</f>
        <v>00130730762012V300</v>
      </c>
      <c r="G2545" s="1">
        <v>399.32</v>
      </c>
      <c r="H2545" t="str">
        <f>"00130730762012V300"</f>
        <v>00130730762012V300</v>
      </c>
    </row>
    <row r="2546" spans="1:8" x14ac:dyDescent="0.25">
      <c r="E2546" t="str">
        <f>"C62202009309111"</f>
        <v>C62202009309111</v>
      </c>
      <c r="F2546" t="str">
        <f>"# 0012128865"</f>
        <v># 0012128865</v>
      </c>
      <c r="G2546" s="1">
        <v>243.23</v>
      </c>
      <c r="H2546" t="str">
        <f>"# 0012128865"</f>
        <v># 0012128865</v>
      </c>
    </row>
    <row r="2547" spans="1:8" x14ac:dyDescent="0.25">
      <c r="E2547" t="str">
        <f>"C66202009309111"</f>
        <v>C66202009309111</v>
      </c>
      <c r="F2547" t="str">
        <f>"# 0012871801"</f>
        <v># 0012871801</v>
      </c>
      <c r="G2547" s="1">
        <v>90</v>
      </c>
      <c r="H2547" t="str">
        <f>"# 0012871801"</f>
        <v># 0012871801</v>
      </c>
    </row>
    <row r="2548" spans="1:8" x14ac:dyDescent="0.25">
      <c r="E2548" t="str">
        <f>"C67202009309111"</f>
        <v>C67202009309111</v>
      </c>
      <c r="F2548" t="str">
        <f>"13154657"</f>
        <v>13154657</v>
      </c>
      <c r="G2548" s="1">
        <v>101.99</v>
      </c>
      <c r="H2548" t="str">
        <f>"13154657"</f>
        <v>13154657</v>
      </c>
    </row>
    <row r="2549" spans="1:8" x14ac:dyDescent="0.25">
      <c r="E2549" t="str">
        <f>"C69202009309111"</f>
        <v>C69202009309111</v>
      </c>
      <c r="F2549" t="str">
        <f>"0012046911423672"</f>
        <v>0012046911423672</v>
      </c>
      <c r="G2549" s="1">
        <v>187.38</v>
      </c>
      <c r="H2549" t="str">
        <f>"0012046911423672"</f>
        <v>0012046911423672</v>
      </c>
    </row>
    <row r="2550" spans="1:8" x14ac:dyDescent="0.25">
      <c r="E2550" t="str">
        <f>"C71202009309111"</f>
        <v>C71202009309111</v>
      </c>
      <c r="F2550" t="str">
        <f>"00137390532018V215"</f>
        <v>00137390532018V215</v>
      </c>
      <c r="G2550" s="1">
        <v>264</v>
      </c>
      <c r="H2550" t="str">
        <f>"00137390532018V215"</f>
        <v>00137390532018V215</v>
      </c>
    </row>
    <row r="2551" spans="1:8" x14ac:dyDescent="0.25">
      <c r="E2551" t="str">
        <f>"C72202009309111"</f>
        <v>C72202009309111</v>
      </c>
      <c r="F2551" t="str">
        <f>"0012797601C20130529B"</f>
        <v>0012797601C20130529B</v>
      </c>
      <c r="G2551" s="1">
        <v>241.85</v>
      </c>
      <c r="H2551" t="str">
        <f>"0012797601C20130529B"</f>
        <v>0012797601C20130529B</v>
      </c>
    </row>
    <row r="2552" spans="1:8" x14ac:dyDescent="0.25">
      <c r="E2552" t="str">
        <f>"C78202009309111"</f>
        <v>C78202009309111</v>
      </c>
      <c r="F2552" t="str">
        <f>"00105115972005106221"</f>
        <v>00105115972005106221</v>
      </c>
      <c r="G2552" s="1">
        <v>144.68</v>
      </c>
      <c r="H2552" t="str">
        <f>"00105115972005106221"</f>
        <v>00105115972005106221</v>
      </c>
    </row>
    <row r="2553" spans="1:8" x14ac:dyDescent="0.25">
      <c r="E2553" t="str">
        <f>"C83202009309111"</f>
        <v>C83202009309111</v>
      </c>
      <c r="F2553" t="str">
        <f>"0013096953150533"</f>
        <v>0013096953150533</v>
      </c>
      <c r="G2553" s="1">
        <v>346.15</v>
      </c>
      <c r="H2553" t="str">
        <f>"0013096953150533"</f>
        <v>0013096953150533</v>
      </c>
    </row>
    <row r="2554" spans="1:8" x14ac:dyDescent="0.25">
      <c r="E2554" t="str">
        <f>"C84202009309111"</f>
        <v>C84202009309111</v>
      </c>
      <c r="F2554" t="str">
        <f>"00128499834232566"</f>
        <v>00128499834232566</v>
      </c>
      <c r="G2554" s="1">
        <v>439.94</v>
      </c>
      <c r="H2554" t="str">
        <f>"00128499834232566"</f>
        <v>00128499834232566</v>
      </c>
    </row>
    <row r="2555" spans="1:8" x14ac:dyDescent="0.25">
      <c r="E2555" t="str">
        <f>"C85202009309111"</f>
        <v>C85202009309111</v>
      </c>
      <c r="F2555" t="str">
        <f>"0012469425201770874"</f>
        <v>0012469425201770874</v>
      </c>
      <c r="G2555" s="1">
        <v>138.46</v>
      </c>
      <c r="H2555" t="str">
        <f>"0012469425201770874"</f>
        <v>0012469425201770874</v>
      </c>
    </row>
    <row r="2556" spans="1:8" x14ac:dyDescent="0.25">
      <c r="E2556" t="str">
        <f>"C86202009309111"</f>
        <v>C86202009309111</v>
      </c>
      <c r="F2556" t="str">
        <f>"0013854015101285F"</f>
        <v>0013854015101285F</v>
      </c>
      <c r="G2556" s="1">
        <v>241.85</v>
      </c>
      <c r="H2556" t="str">
        <f>"0013854015101285F"</f>
        <v>0013854015101285F</v>
      </c>
    </row>
    <row r="2557" spans="1:8" x14ac:dyDescent="0.25">
      <c r="E2557" t="str">
        <f>"C87202009309111"</f>
        <v>C87202009309111</v>
      </c>
      <c r="F2557" t="str">
        <f>"0012963634L130019CVB"</f>
        <v>0012963634L130019CVB</v>
      </c>
      <c r="G2557" s="1">
        <v>249.23</v>
      </c>
      <c r="H2557" t="str">
        <f>"0012963634L130019CVB"</f>
        <v>0012963634L130019CVB</v>
      </c>
    </row>
    <row r="2558" spans="1:8" x14ac:dyDescent="0.25">
      <c r="A2558" t="s">
        <v>2</v>
      </c>
      <c r="B2558">
        <v>747</v>
      </c>
      <c r="C2558" s="1">
        <v>4364.71</v>
      </c>
      <c r="D2558" s="3">
        <v>44120</v>
      </c>
      <c r="E2558" t="str">
        <f>"C2 202010149552"</f>
        <v>C2 202010149552</v>
      </c>
      <c r="F2558" t="str">
        <f>"0012982132CCL7445"</f>
        <v>0012982132CCL7445</v>
      </c>
      <c r="G2558" s="1">
        <v>692.31</v>
      </c>
      <c r="H2558" t="str">
        <f>"0012982132CCL7445"</f>
        <v>0012982132CCL7445</v>
      </c>
    </row>
    <row r="2559" spans="1:8" x14ac:dyDescent="0.25">
      <c r="E2559" t="str">
        <f>"C20202010149551"</f>
        <v>C20202010149551</v>
      </c>
      <c r="F2559" t="str">
        <f>"001003981107-12252"</f>
        <v>001003981107-12252</v>
      </c>
      <c r="G2559" s="1">
        <v>115.39</v>
      </c>
      <c r="H2559" t="str">
        <f>"001003981107-12252"</f>
        <v>001003981107-12252</v>
      </c>
    </row>
    <row r="2560" spans="1:8" x14ac:dyDescent="0.25">
      <c r="E2560" t="str">
        <f>"C42202010149551"</f>
        <v>C42202010149551</v>
      </c>
      <c r="F2560" t="str">
        <f>"001236769211-14410"</f>
        <v>001236769211-14410</v>
      </c>
      <c r="G2560" s="1">
        <v>230.31</v>
      </c>
      <c r="H2560" t="str">
        <f>"001236769211-14410"</f>
        <v>001236769211-14410</v>
      </c>
    </row>
    <row r="2561" spans="1:8" x14ac:dyDescent="0.25">
      <c r="E2561" t="str">
        <f>"C46202010149551"</f>
        <v>C46202010149551</v>
      </c>
      <c r="F2561" t="str">
        <f>"CAUSE# 11-14911"</f>
        <v>CAUSE# 11-14911</v>
      </c>
      <c r="G2561" s="1">
        <v>238.62</v>
      </c>
      <c r="H2561" t="str">
        <f>"CAUSE# 11-14911"</f>
        <v>CAUSE# 11-14911</v>
      </c>
    </row>
    <row r="2562" spans="1:8" x14ac:dyDescent="0.25">
      <c r="E2562" t="str">
        <f>"C60202010149551"</f>
        <v>C60202010149551</v>
      </c>
      <c r="F2562" t="str">
        <f>"00130730762012V300"</f>
        <v>00130730762012V300</v>
      </c>
      <c r="G2562" s="1">
        <v>399.32</v>
      </c>
      <c r="H2562" t="str">
        <f>"00130730762012V300"</f>
        <v>00130730762012V300</v>
      </c>
    </row>
    <row r="2563" spans="1:8" x14ac:dyDescent="0.25">
      <c r="E2563" t="str">
        <f>"C62202010149551"</f>
        <v>C62202010149551</v>
      </c>
      <c r="F2563" t="str">
        <f>"# 0012128865"</f>
        <v># 0012128865</v>
      </c>
      <c r="G2563" s="1">
        <v>243.23</v>
      </c>
      <c r="H2563" t="str">
        <f>"# 0012128865"</f>
        <v># 0012128865</v>
      </c>
    </row>
    <row r="2564" spans="1:8" x14ac:dyDescent="0.25">
      <c r="E2564" t="str">
        <f>"C66202010149551"</f>
        <v>C66202010149551</v>
      </c>
      <c r="F2564" t="str">
        <f>"# 0012871801"</f>
        <v># 0012871801</v>
      </c>
      <c r="G2564" s="1">
        <v>90</v>
      </c>
      <c r="H2564" t="str">
        <f>"# 0012871801"</f>
        <v># 0012871801</v>
      </c>
    </row>
    <row r="2565" spans="1:8" x14ac:dyDescent="0.25">
      <c r="E2565" t="str">
        <f>"C67202010149551"</f>
        <v>C67202010149551</v>
      </c>
      <c r="F2565" t="str">
        <f>"13154657"</f>
        <v>13154657</v>
      </c>
      <c r="G2565" s="1">
        <v>101.99</v>
      </c>
      <c r="H2565" t="str">
        <f>"13154657"</f>
        <v>13154657</v>
      </c>
    </row>
    <row r="2566" spans="1:8" x14ac:dyDescent="0.25">
      <c r="E2566" t="str">
        <f>"C69202010149551"</f>
        <v>C69202010149551</v>
      </c>
      <c r="F2566" t="str">
        <f>"0012046911423672"</f>
        <v>0012046911423672</v>
      </c>
      <c r="G2566" s="1">
        <v>187.38</v>
      </c>
      <c r="H2566" t="str">
        <f>"0012046911423672"</f>
        <v>0012046911423672</v>
      </c>
    </row>
    <row r="2567" spans="1:8" x14ac:dyDescent="0.25">
      <c r="E2567" t="str">
        <f>"C71202010149551"</f>
        <v>C71202010149551</v>
      </c>
      <c r="F2567" t="str">
        <f>"00137390532018V215"</f>
        <v>00137390532018V215</v>
      </c>
      <c r="G2567" s="1">
        <v>264</v>
      </c>
      <c r="H2567" t="str">
        <f>"00137390532018V215"</f>
        <v>00137390532018V215</v>
      </c>
    </row>
    <row r="2568" spans="1:8" x14ac:dyDescent="0.25">
      <c r="E2568" t="str">
        <f>"C72202010149551"</f>
        <v>C72202010149551</v>
      </c>
      <c r="F2568" t="str">
        <f>"0012797601C20130529B"</f>
        <v>0012797601C20130529B</v>
      </c>
      <c r="G2568" s="1">
        <v>241.85</v>
      </c>
      <c r="H2568" t="str">
        <f>"0012797601C20130529B"</f>
        <v>0012797601C20130529B</v>
      </c>
    </row>
    <row r="2569" spans="1:8" x14ac:dyDescent="0.25">
      <c r="E2569" t="str">
        <f>"C78202010149551"</f>
        <v>C78202010149551</v>
      </c>
      <c r="F2569" t="str">
        <f>"00105115972005106221"</f>
        <v>00105115972005106221</v>
      </c>
      <c r="G2569" s="1">
        <v>144.68</v>
      </c>
      <c r="H2569" t="str">
        <f>"00105115972005106221"</f>
        <v>00105115972005106221</v>
      </c>
    </row>
    <row r="2570" spans="1:8" x14ac:dyDescent="0.25">
      <c r="E2570" t="str">
        <f>"C83202010149551"</f>
        <v>C83202010149551</v>
      </c>
      <c r="F2570" t="str">
        <f>"0013096953150533"</f>
        <v>0013096953150533</v>
      </c>
      <c r="G2570" s="1">
        <v>346.15</v>
      </c>
      <c r="H2570" t="str">
        <f>"0013096953150533"</f>
        <v>0013096953150533</v>
      </c>
    </row>
    <row r="2571" spans="1:8" x14ac:dyDescent="0.25">
      <c r="E2571" t="str">
        <f>"C84202010149551"</f>
        <v>C84202010149551</v>
      </c>
      <c r="F2571" t="str">
        <f>"00128499834232566"</f>
        <v>00128499834232566</v>
      </c>
      <c r="G2571" s="1">
        <v>439.94</v>
      </c>
      <c r="H2571" t="str">
        <f>"00128499834232566"</f>
        <v>00128499834232566</v>
      </c>
    </row>
    <row r="2572" spans="1:8" x14ac:dyDescent="0.25">
      <c r="E2572" t="str">
        <f>"C85202010149551"</f>
        <v>C85202010149551</v>
      </c>
      <c r="F2572" t="str">
        <f>"0012469425201770874"</f>
        <v>0012469425201770874</v>
      </c>
      <c r="G2572" s="1">
        <v>138.46</v>
      </c>
      <c r="H2572" t="str">
        <f>"0012469425201770874"</f>
        <v>0012469425201770874</v>
      </c>
    </row>
    <row r="2573" spans="1:8" x14ac:dyDescent="0.25">
      <c r="E2573" t="str">
        <f>"C86202010149551"</f>
        <v>C86202010149551</v>
      </c>
      <c r="F2573" t="str">
        <f>"0013854015101285F"</f>
        <v>0013854015101285F</v>
      </c>
      <c r="G2573" s="1">
        <v>241.85</v>
      </c>
      <c r="H2573" t="str">
        <f>"0013854015101285F"</f>
        <v>0013854015101285F</v>
      </c>
    </row>
    <row r="2574" spans="1:8" x14ac:dyDescent="0.25">
      <c r="E2574" t="str">
        <f>"C87202010149551"</f>
        <v>C87202010149551</v>
      </c>
      <c r="F2574" t="str">
        <f>"0012963634L130019CVB"</f>
        <v>0012963634L130019CVB</v>
      </c>
      <c r="G2574" s="1">
        <v>249.23</v>
      </c>
      <c r="H2574" t="str">
        <f>"0012963634L130019CVB"</f>
        <v>0012963634L130019CVB</v>
      </c>
    </row>
    <row r="2575" spans="1:8" x14ac:dyDescent="0.25">
      <c r="A2575" t="s">
        <v>2</v>
      </c>
      <c r="B2575">
        <v>758</v>
      </c>
      <c r="C2575" s="1">
        <v>4364.71</v>
      </c>
      <c r="D2575" s="3">
        <v>44134</v>
      </c>
      <c r="E2575" t="str">
        <f>"C2 202010289790"</f>
        <v>C2 202010289790</v>
      </c>
      <c r="F2575" t="str">
        <f>"0012982132CCL7445"</f>
        <v>0012982132CCL7445</v>
      </c>
      <c r="G2575" s="1">
        <v>692.31</v>
      </c>
      <c r="H2575" t="str">
        <f>"0012982132CCL7445"</f>
        <v>0012982132CCL7445</v>
      </c>
    </row>
    <row r="2576" spans="1:8" x14ac:dyDescent="0.25">
      <c r="E2576" t="str">
        <f>"C20202010289789"</f>
        <v>C20202010289789</v>
      </c>
      <c r="F2576" t="str">
        <f>"001003981107-12252"</f>
        <v>001003981107-12252</v>
      </c>
      <c r="G2576" s="1">
        <v>115.39</v>
      </c>
      <c r="H2576" t="str">
        <f>"001003981107-12252"</f>
        <v>001003981107-12252</v>
      </c>
    </row>
    <row r="2577" spans="1:8" x14ac:dyDescent="0.25">
      <c r="E2577" t="str">
        <f>"C42202010289789"</f>
        <v>C42202010289789</v>
      </c>
      <c r="F2577" t="str">
        <f>"001236769211-14410"</f>
        <v>001236769211-14410</v>
      </c>
      <c r="G2577" s="1">
        <v>230.31</v>
      </c>
      <c r="H2577" t="str">
        <f>"001236769211-14410"</f>
        <v>001236769211-14410</v>
      </c>
    </row>
    <row r="2578" spans="1:8" x14ac:dyDescent="0.25">
      <c r="E2578" t="str">
        <f>"C46202010289789"</f>
        <v>C46202010289789</v>
      </c>
      <c r="F2578" t="str">
        <f>"CAUSE# 11-14911"</f>
        <v>CAUSE# 11-14911</v>
      </c>
      <c r="G2578" s="1">
        <v>238.62</v>
      </c>
      <c r="H2578" t="str">
        <f>"CAUSE# 11-14911"</f>
        <v>CAUSE# 11-14911</v>
      </c>
    </row>
    <row r="2579" spans="1:8" x14ac:dyDescent="0.25">
      <c r="E2579" t="str">
        <f>"C60202010289789"</f>
        <v>C60202010289789</v>
      </c>
      <c r="F2579" t="str">
        <f>"00130730762012V300"</f>
        <v>00130730762012V300</v>
      </c>
      <c r="G2579" s="1">
        <v>399.32</v>
      </c>
      <c r="H2579" t="str">
        <f>"00130730762012V300"</f>
        <v>00130730762012V300</v>
      </c>
    </row>
    <row r="2580" spans="1:8" x14ac:dyDescent="0.25">
      <c r="E2580" t="str">
        <f>"C62202010289789"</f>
        <v>C62202010289789</v>
      </c>
      <c r="F2580" t="str">
        <f>"# 0012128865"</f>
        <v># 0012128865</v>
      </c>
      <c r="G2580" s="1">
        <v>243.23</v>
      </c>
      <c r="H2580" t="str">
        <f>"# 0012128865"</f>
        <v># 0012128865</v>
      </c>
    </row>
    <row r="2581" spans="1:8" x14ac:dyDescent="0.25">
      <c r="E2581" t="str">
        <f>"C66202010289789"</f>
        <v>C66202010289789</v>
      </c>
      <c r="F2581" t="str">
        <f>"# 0012871801"</f>
        <v># 0012871801</v>
      </c>
      <c r="G2581" s="1">
        <v>90</v>
      </c>
      <c r="H2581" t="str">
        <f>"# 0012871801"</f>
        <v># 0012871801</v>
      </c>
    </row>
    <row r="2582" spans="1:8" x14ac:dyDescent="0.25">
      <c r="E2582" t="str">
        <f>"C67202010289789"</f>
        <v>C67202010289789</v>
      </c>
      <c r="F2582" t="str">
        <f>"13154657"</f>
        <v>13154657</v>
      </c>
      <c r="G2582" s="1">
        <v>101.99</v>
      </c>
      <c r="H2582" t="str">
        <f>"13154657"</f>
        <v>13154657</v>
      </c>
    </row>
    <row r="2583" spans="1:8" x14ac:dyDescent="0.25">
      <c r="E2583" t="str">
        <f>"C69202010289789"</f>
        <v>C69202010289789</v>
      </c>
      <c r="F2583" t="str">
        <f>"0012046911423672"</f>
        <v>0012046911423672</v>
      </c>
      <c r="G2583" s="1">
        <v>187.38</v>
      </c>
      <c r="H2583" t="str">
        <f>"0012046911423672"</f>
        <v>0012046911423672</v>
      </c>
    </row>
    <row r="2584" spans="1:8" x14ac:dyDescent="0.25">
      <c r="E2584" t="str">
        <f>"C71202010289789"</f>
        <v>C71202010289789</v>
      </c>
      <c r="F2584" t="str">
        <f>"00137390532018V215"</f>
        <v>00137390532018V215</v>
      </c>
      <c r="G2584" s="1">
        <v>264</v>
      </c>
      <c r="H2584" t="str">
        <f>"00137390532018V215"</f>
        <v>00137390532018V215</v>
      </c>
    </row>
    <row r="2585" spans="1:8" x14ac:dyDescent="0.25">
      <c r="E2585" t="str">
        <f>"C72202010289789"</f>
        <v>C72202010289789</v>
      </c>
      <c r="F2585" t="str">
        <f>"0012797601C20130529B"</f>
        <v>0012797601C20130529B</v>
      </c>
      <c r="G2585" s="1">
        <v>241.85</v>
      </c>
      <c r="H2585" t="str">
        <f>"0012797601C20130529B"</f>
        <v>0012797601C20130529B</v>
      </c>
    </row>
    <row r="2586" spans="1:8" x14ac:dyDescent="0.25">
      <c r="E2586" t="str">
        <f>"C78202010289789"</f>
        <v>C78202010289789</v>
      </c>
      <c r="F2586" t="str">
        <f>"00105115972005106221"</f>
        <v>00105115972005106221</v>
      </c>
      <c r="G2586" s="1">
        <v>144.68</v>
      </c>
      <c r="H2586" t="str">
        <f>"00105115972005106221"</f>
        <v>00105115972005106221</v>
      </c>
    </row>
    <row r="2587" spans="1:8" x14ac:dyDescent="0.25">
      <c r="E2587" t="str">
        <f>"C83202010289789"</f>
        <v>C83202010289789</v>
      </c>
      <c r="F2587" t="str">
        <f>"0013096953150533"</f>
        <v>0013096953150533</v>
      </c>
      <c r="G2587" s="1">
        <v>346.15</v>
      </c>
      <c r="H2587" t="str">
        <f>"0013096953150533"</f>
        <v>0013096953150533</v>
      </c>
    </row>
    <row r="2588" spans="1:8" x14ac:dyDescent="0.25">
      <c r="E2588" t="str">
        <f>"C84202010289789"</f>
        <v>C84202010289789</v>
      </c>
      <c r="F2588" t="str">
        <f>"00128499834232566"</f>
        <v>00128499834232566</v>
      </c>
      <c r="G2588" s="1">
        <v>439.94</v>
      </c>
      <c r="H2588" t="str">
        <f>"00128499834232566"</f>
        <v>00128499834232566</v>
      </c>
    </row>
    <row r="2589" spans="1:8" x14ac:dyDescent="0.25">
      <c r="E2589" t="str">
        <f>"C85202010289789"</f>
        <v>C85202010289789</v>
      </c>
      <c r="F2589" t="str">
        <f>"0012469425201770874"</f>
        <v>0012469425201770874</v>
      </c>
      <c r="G2589" s="1">
        <v>138.46</v>
      </c>
      <c r="H2589" t="str">
        <f>"0012469425201770874"</f>
        <v>0012469425201770874</v>
      </c>
    </row>
    <row r="2590" spans="1:8" x14ac:dyDescent="0.25">
      <c r="E2590" t="str">
        <f>"C86202010289789"</f>
        <v>C86202010289789</v>
      </c>
      <c r="F2590" t="str">
        <f>"0013854015101285F"</f>
        <v>0013854015101285F</v>
      </c>
      <c r="G2590" s="1">
        <v>241.85</v>
      </c>
      <c r="H2590" t="str">
        <f>"0013854015101285F"</f>
        <v>0013854015101285F</v>
      </c>
    </row>
    <row r="2591" spans="1:8" x14ac:dyDescent="0.25">
      <c r="E2591" t="str">
        <f>"C87202010289789"</f>
        <v>C87202010289789</v>
      </c>
      <c r="F2591" t="str">
        <f>"0012963634L130019CVB"</f>
        <v>0012963634L130019CVB</v>
      </c>
      <c r="G2591" s="1">
        <v>249.23</v>
      </c>
      <c r="H2591" t="str">
        <f>"0012963634L130019CVB"</f>
        <v>0012963634L130019CVB</v>
      </c>
    </row>
    <row r="2592" spans="1:8" x14ac:dyDescent="0.25">
      <c r="A2592" t="s">
        <v>1</v>
      </c>
      <c r="B2592">
        <v>759</v>
      </c>
      <c r="C2592" s="1">
        <v>593112.1</v>
      </c>
      <c r="D2592" s="3">
        <v>44134</v>
      </c>
      <c r="E2592" t="str">
        <f>"RET202009309111"</f>
        <v>RET202009309111</v>
      </c>
      <c r="F2592" t="str">
        <f>"TEXAS COUNTY &amp; DISTRICT RET"</f>
        <v>TEXAS COUNTY &amp; DISTRICT RET</v>
      </c>
      <c r="G2592" s="1">
        <v>203350.77</v>
      </c>
      <c r="H2592" t="str">
        <f>"TEXAS COUNTY &amp; DISTRICT RET"</f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>"TEXAS COUNTY &amp; DISTRICT RET"</f>
        <v>TEXAS COUNTY &amp; DISTRICT RET</v>
      </c>
    </row>
    <row r="2594" spans="5:8" x14ac:dyDescent="0.25">
      <c r="E2594" t="str">
        <f>""</f>
        <v/>
      </c>
      <c r="F2594" t="str">
        <f>""</f>
        <v/>
      </c>
      <c r="H2594" t="str">
        <f>"TEXAS COUNTY &amp; DISTRICT RET"</f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>"TEXAS COUNTY &amp; DISTRICT RET"</f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>"TEXAS COUNTY &amp; DISTRICT RET"</f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>"TEXAS COUNTY &amp; DISTRICT RET"</f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>"TEXAS COUNTY &amp; DISTRICT RET"</f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>"TEXAS COUNTY &amp; DISTRICT RET"</f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>"TEXAS COUNTY &amp; DISTRICT RET"</f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>"TEXAS COUNTY &amp; DISTRICT RET"</f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>"TEXAS COUNTY &amp; DISTRICT RET"</f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>"TEXAS COUNTY &amp; DISTRICT RET"</f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>"TEXAS COUNTY &amp; DISTRICT RET"</f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>"TEXAS COUNTY &amp; DISTRICT RET"</f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>"TEXAS COUNTY &amp; DISTRICT RET"</f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>"TEXAS COUNTY &amp; DISTRICT RET"</f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>"TEXAS COUNTY &amp; DISTRICT RET"</f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>"TEXAS COUNTY &amp; DISTRICT RET"</f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>"TEXAS COUNTY &amp; DISTRICT RET"</f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>"TEXAS COUNTY &amp; DISTRICT RET"</f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>"TEXAS COUNTY &amp; DISTRICT RET"</f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>"TEXAS COUNTY &amp; DISTRICT RET"</f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>"TEXAS COUNTY &amp; DISTRICT RET"</f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>"TEXAS COUNTY &amp; DISTRICT RET"</f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>"TEXAS COUNTY &amp; DISTRICT RET"</f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>"TEXAS COUNTY &amp; DISTRICT RET"</f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>"TEXAS COUNTY &amp; DISTRICT RET"</f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>"TEXAS COUNTY &amp; DISTRICT RET"</f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>"TEXAS COUNTY &amp; DISTRICT RET"</f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>"TEXAS COUNTY &amp; DISTRICT RET"</f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>"TEXAS COUNTY &amp; DISTRICT RET"</f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>"TEXAS COUNTY &amp; DISTRICT RET"</f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>"TEXAS COUNTY &amp; DISTRICT RET"</f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>"TEXAS COUNTY &amp; DISTRICT RET"</f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>"TEXAS COUNTY &amp; DISTRICT RET"</f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>"TEXAS COUNTY &amp; DISTRICT RET"</f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>"TEXAS COUNTY &amp; DISTRICT RET"</f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>"TEXAS COUNTY &amp; DISTRICT RET"</f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>"TEXAS COUNTY &amp; DISTRICT RET"</f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>"TEXAS COUNTY &amp; DISTRICT RET"</f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>"TEXAS COUNTY &amp; DISTRICT RET"</f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>"TEXAS COUNTY &amp; DISTRICT RET"</f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>"TEXAS COUNTY &amp; DISTRICT RET"</f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>"TEXAS COUNTY &amp; DISTRICT RET"</f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>"TEXAS COUNTY &amp; DISTRICT RET"</f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>"TEXAS COUNTY &amp; DISTRICT RET"</f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>"TEXAS COUNTY &amp; DISTRICT RET"</f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>"TEXAS COUNTY &amp; DISTRICT RET"</f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>"TEXAS COUNTY &amp; DISTRICT RET"</f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>"TEXAS COUNTY &amp; DISTRICT RET"</f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>"TEXAS COUNTY &amp; DISTRICT RET"</f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>"TEXAS COUNTY &amp; DISTRICT RET"</f>
        <v>TEXAS COUNTY &amp; DISTRICT RET</v>
      </c>
    </row>
    <row r="2644" spans="5:8" x14ac:dyDescent="0.25">
      <c r="E2644" t="str">
        <f>"RET202009309112"</f>
        <v>RET202009309112</v>
      </c>
      <c r="F2644" t="str">
        <f>"TEXAS COUNTY  DISTRICT RET"</f>
        <v>TEXAS COUNTY  DISTRICT RET</v>
      </c>
      <c r="G2644" s="1">
        <v>6852.81</v>
      </c>
      <c r="H2644" t="str">
        <f>"TEXAS COUNTY  DISTRICT RET"</f>
        <v>TEXAS COUNTY  DISTRICT RET</v>
      </c>
    </row>
    <row r="2645" spans="5:8" x14ac:dyDescent="0.25">
      <c r="E2645" t="str">
        <f>""</f>
        <v/>
      </c>
      <c r="F2645" t="str">
        <f>""</f>
        <v/>
      </c>
      <c r="H2645" t="str">
        <f>"TEXAS COUNTY  DISTRICT RET"</f>
        <v>TEXAS COUNTY  DISTRICT RET</v>
      </c>
    </row>
    <row r="2646" spans="5:8" x14ac:dyDescent="0.25">
      <c r="E2646" t="str">
        <f>"RET202009309113"</f>
        <v>RET202009309113</v>
      </c>
      <c r="F2646" t="str">
        <f>"TEXAS COUNTY &amp; DISTRICT RET"</f>
        <v>TEXAS COUNTY &amp; DISTRICT RET</v>
      </c>
      <c r="G2646" s="1">
        <v>7693.42</v>
      </c>
      <c r="H2646" t="str">
        <f>"TEXAS COUNTY &amp; DISTRICT RET"</f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>"TEXAS COUNTY &amp; DISTRICT RET"</f>
        <v>TEXAS COUNTY &amp; DISTRICT RET</v>
      </c>
    </row>
    <row r="2648" spans="5:8" x14ac:dyDescent="0.25">
      <c r="E2648" t="str">
        <f>"RET202010149551"</f>
        <v>RET202010149551</v>
      </c>
      <c r="F2648" t="str">
        <f>"TEXAS COUNTY &amp; DISTRICT RET"</f>
        <v>TEXAS COUNTY &amp; DISTRICT RET</v>
      </c>
      <c r="G2648" s="1">
        <v>174574.04</v>
      </c>
      <c r="H2648" t="str">
        <f>"TEXAS COUNTY &amp; DISTRICT RET"</f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>"TEXAS COUNTY &amp; DISTRICT RET"</f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>"TEXAS COUNTY &amp; DISTRICT RET"</f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>"TEXAS COUNTY &amp; DISTRICT RET"</f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>"TEXAS COUNTY &amp; DISTRICT RET"</f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>"TEXAS COUNTY &amp; DISTRICT RET"</f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>"TEXAS COUNTY &amp; DISTRICT RET"</f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>"TEXAS COUNTY &amp; DISTRICT RET"</f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>"TEXAS COUNTY &amp; DISTRICT RET"</f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>"TEXAS COUNTY &amp; DISTRICT RET"</f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>"TEXAS COUNTY &amp; DISTRICT RET"</f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>"TEXAS COUNTY &amp; DISTRICT RET"</f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>"TEXAS COUNTY &amp; DISTRICT RET"</f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>"TEXAS COUNTY &amp; DISTRICT RET"</f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>"TEXAS COUNTY &amp; DISTRICT RET"</f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>"TEXAS COUNTY &amp; DISTRICT RET"</f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>"TEXAS COUNTY &amp; DISTRICT RET"</f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>"TEXAS COUNTY &amp; DISTRICT RET"</f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>"TEXAS COUNTY &amp; DISTRICT RET"</f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>"TEXAS COUNTY &amp; DISTRICT RET"</f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>"TEXAS COUNTY &amp; DISTRICT RET"</f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>"TEXAS COUNTY &amp; DISTRICT RET"</f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>"TEXAS COUNTY &amp; DISTRICT RET"</f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>"TEXAS COUNTY &amp; DISTRICT RET"</f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>"TEXAS COUNTY &amp; DISTRICT RET"</f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>"TEXAS COUNTY &amp; DISTRICT RET"</f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>"TEXAS COUNTY &amp; DISTRICT RET"</f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>"TEXAS COUNTY &amp; DISTRICT RET"</f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>"TEXAS COUNTY &amp; DISTRICT RET"</f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>"TEXAS COUNTY &amp; DISTRICT RET"</f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>"TEXAS COUNTY &amp; DISTRICT RET"</f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>"TEXAS COUNTY &amp; DISTRICT RET"</f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>"TEXAS COUNTY &amp; DISTRICT RET"</f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>"TEXAS COUNTY &amp; DISTRICT RET"</f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>"TEXAS COUNTY &amp; DISTRICT RET"</f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>"TEXAS COUNTY &amp; DISTRICT RET"</f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>"TEXAS COUNTY &amp; DISTRICT RET"</f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>"TEXAS COUNTY &amp; DISTRICT RET"</f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>"TEXAS COUNTY &amp; DISTRICT RET"</f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>"TEXAS COUNTY &amp; DISTRICT RET"</f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>"TEXAS COUNTY &amp; DISTRICT RET"</f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>"TEXAS COUNTY &amp; DISTRICT RET"</f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>"TEXAS COUNTY &amp; DISTRICT RET"</f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>"TEXAS COUNTY &amp; DISTRICT RET"</f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>"TEXAS COUNTY &amp; DISTRICT RET"</f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>"TEXAS COUNTY &amp; DISTRICT RET"</f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>"TEXAS COUNTY &amp; DISTRICT RET"</f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>"TEXAS COUNTY &amp; DISTRICT RET"</f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>"TEXAS COUNTY &amp; DISTRICT RET"</f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>"TEXAS COUNTY &amp; DISTRICT RET"</f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>"TEXAS COUNTY &amp; DISTRICT RET"</f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>"TEXAS COUNTY &amp; DISTRICT RET"</f>
        <v>TEXAS COUNTY &amp; DISTRICT RET</v>
      </c>
    </row>
    <row r="2700" spans="5:8" x14ac:dyDescent="0.25">
      <c r="E2700" t="str">
        <f>"RET202010149552"</f>
        <v>RET202010149552</v>
      </c>
      <c r="F2700" t="str">
        <f>"TEXAS COUNTY  DISTRICT RET"</f>
        <v>TEXAS COUNTY  DISTRICT RET</v>
      </c>
      <c r="G2700" s="1">
        <v>6233.97</v>
      </c>
      <c r="H2700" t="str">
        <f>"TEXAS COUNTY  DISTRICT RET"</f>
        <v>TEXAS COUNTY  DISTRICT RET</v>
      </c>
    </row>
    <row r="2701" spans="5:8" x14ac:dyDescent="0.25">
      <c r="E2701" t="str">
        <f>""</f>
        <v/>
      </c>
      <c r="F2701" t="str">
        <f>""</f>
        <v/>
      </c>
      <c r="H2701" t="str">
        <f>"TEXAS COUNTY  DISTRICT RET"</f>
        <v>TEXAS COUNTY  DISTRICT RET</v>
      </c>
    </row>
    <row r="2702" spans="5:8" x14ac:dyDescent="0.25">
      <c r="E2702" t="str">
        <f>"RET202010149553"</f>
        <v>RET202010149553</v>
      </c>
      <c r="F2702" t="str">
        <f>"TEXAS COUNTY &amp; DISTRICT RET"</f>
        <v>TEXAS COUNTY &amp; DISTRICT RET</v>
      </c>
      <c r="G2702" s="1">
        <v>7331.92</v>
      </c>
      <c r="H2702" t="str">
        <f>"TEXAS COUNTY &amp; DISTRICT RET"</f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>"TEXAS COUNTY &amp; DISTRICT RET"</f>
        <v>TEXAS COUNTY &amp; DISTRICT RET</v>
      </c>
    </row>
    <row r="2704" spans="5:8" x14ac:dyDescent="0.25">
      <c r="E2704" t="str">
        <f>"RET202010289789"</f>
        <v>RET202010289789</v>
      </c>
      <c r="F2704" t="str">
        <f>"TEXAS COUNTY &amp; DISTRICT RET"</f>
        <v>TEXAS COUNTY &amp; DISTRICT RET</v>
      </c>
      <c r="G2704" s="1">
        <v>173605.05</v>
      </c>
      <c r="H2704" t="str">
        <f>"TEXAS COUNTY &amp; DISTRICT RET"</f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>"TEXAS COUNTY &amp; DISTRICT RET"</f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>"TEXAS COUNTY &amp; DISTRICT RET"</f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>"TEXAS COUNTY &amp; DISTRICT RET"</f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>"TEXAS COUNTY &amp; DISTRICT RET"</f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>"TEXAS COUNTY &amp; DISTRICT RET"</f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>"TEXAS COUNTY &amp; DISTRICT RET"</f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>"TEXAS COUNTY &amp; DISTRICT RET"</f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>"TEXAS COUNTY &amp; DISTRICT RET"</f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>"TEXAS COUNTY &amp; DISTRICT RET"</f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>"TEXAS COUNTY &amp; DISTRICT RET"</f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>"TEXAS COUNTY &amp; DISTRICT RET"</f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>"TEXAS COUNTY &amp; DISTRICT RET"</f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>"TEXAS COUNTY &amp; DISTRICT RET"</f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>"TEXAS COUNTY &amp; DISTRICT RET"</f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>"TEXAS COUNTY &amp; DISTRICT RET"</f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>"TEXAS COUNTY &amp; DISTRICT RET"</f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>"TEXAS COUNTY &amp; DISTRICT RET"</f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>"TEXAS COUNTY &amp; DISTRICT RET"</f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>"TEXAS COUNTY &amp; DISTRICT RET"</f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>"TEXAS COUNTY &amp; DISTRICT RET"</f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>"TEXAS COUNTY &amp; DISTRICT RET"</f>
        <v>TEXAS COUNTY &amp; DISTRICT RET</v>
      </c>
    </row>
    <row r="2726" spans="5:8" x14ac:dyDescent="0.25">
      <c r="E2726" t="str">
        <f>""</f>
        <v/>
      </c>
      <c r="F2726" t="str">
        <f>""</f>
        <v/>
      </c>
      <c r="H2726" t="str">
        <f>"TEXAS COUNTY &amp; DISTRICT RET"</f>
        <v>TEXAS COUNTY &amp; DISTRICT RET</v>
      </c>
    </row>
    <row r="2727" spans="5:8" x14ac:dyDescent="0.25">
      <c r="E2727" t="str">
        <f>""</f>
        <v/>
      </c>
      <c r="F2727" t="str">
        <f>""</f>
        <v/>
      </c>
      <c r="H2727" t="str">
        <f>"TEXAS COUNTY &amp; DISTRICT RET"</f>
        <v>TEXAS COUNTY &amp; DISTRICT RET</v>
      </c>
    </row>
    <row r="2728" spans="5:8" x14ac:dyDescent="0.25">
      <c r="E2728" t="str">
        <f>""</f>
        <v/>
      </c>
      <c r="F2728" t="str">
        <f>""</f>
        <v/>
      </c>
      <c r="H2728" t="str">
        <f>"TEXAS COUNTY &amp; DISTRICT RET"</f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>"TEXAS COUNTY &amp; DISTRICT RET"</f>
        <v>TEXAS COUNTY &amp; DISTRICT RET</v>
      </c>
    </row>
    <row r="2730" spans="5:8" x14ac:dyDescent="0.25">
      <c r="E2730" t="str">
        <f>""</f>
        <v/>
      </c>
      <c r="F2730" t="str">
        <f>""</f>
        <v/>
      </c>
      <c r="H2730" t="str">
        <f>"TEXAS COUNTY &amp; DISTRICT RET"</f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>"TEXAS COUNTY &amp; DISTRICT RET"</f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>"TEXAS COUNTY &amp; DISTRICT RET"</f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>"TEXAS COUNTY &amp; DISTRICT RET"</f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>"TEXAS COUNTY &amp; DISTRICT RET"</f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>"TEXAS COUNTY &amp; DISTRICT RET"</f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>"TEXAS COUNTY &amp; DISTRICT RET"</f>
        <v>TEXAS COUNTY &amp; DISTRICT RET</v>
      </c>
    </row>
    <row r="2737" spans="5:8" x14ac:dyDescent="0.25">
      <c r="E2737" t="str">
        <f>""</f>
        <v/>
      </c>
      <c r="F2737" t="str">
        <f>""</f>
        <v/>
      </c>
      <c r="H2737" t="str">
        <f>"TEXAS COUNTY &amp; DISTRICT RET"</f>
        <v>TEXAS COUNTY &amp; DISTRICT RET</v>
      </c>
    </row>
    <row r="2738" spans="5:8" x14ac:dyDescent="0.25">
      <c r="E2738" t="str">
        <f>""</f>
        <v/>
      </c>
      <c r="F2738" t="str">
        <f>""</f>
        <v/>
      </c>
      <c r="H2738" t="str">
        <f>"TEXAS COUNTY &amp; DISTRICT RET"</f>
        <v>TEXAS COUNTY &amp; DISTRICT RET</v>
      </c>
    </row>
    <row r="2739" spans="5:8" x14ac:dyDescent="0.25">
      <c r="E2739" t="str">
        <f>""</f>
        <v/>
      </c>
      <c r="F2739" t="str">
        <f>""</f>
        <v/>
      </c>
      <c r="H2739" t="str">
        <f>"TEXAS COUNTY &amp; DISTRICT RET"</f>
        <v>TEXAS COUNTY &amp; DISTRICT RET</v>
      </c>
    </row>
    <row r="2740" spans="5:8" x14ac:dyDescent="0.25">
      <c r="E2740" t="str">
        <f>""</f>
        <v/>
      </c>
      <c r="F2740" t="str">
        <f>""</f>
        <v/>
      </c>
      <c r="H2740" t="str">
        <f>"TEXAS COUNTY &amp; DISTRICT RET"</f>
        <v>TEXAS COUNTY &amp; DISTRICT RET</v>
      </c>
    </row>
    <row r="2741" spans="5:8" x14ac:dyDescent="0.25">
      <c r="E2741" t="str">
        <f>""</f>
        <v/>
      </c>
      <c r="F2741" t="str">
        <f>""</f>
        <v/>
      </c>
      <c r="H2741" t="str">
        <f>"TEXAS COUNTY &amp; DISTRICT RET"</f>
        <v>TEXAS COUNTY &amp; DISTRICT RET</v>
      </c>
    </row>
    <row r="2742" spans="5:8" x14ac:dyDescent="0.25">
      <c r="E2742" t="str">
        <f>""</f>
        <v/>
      </c>
      <c r="F2742" t="str">
        <f>""</f>
        <v/>
      </c>
      <c r="H2742" t="str">
        <f>"TEXAS COUNTY &amp; DISTRICT RET"</f>
        <v>TEXAS COUNTY &amp; DISTRICT RET</v>
      </c>
    </row>
    <row r="2743" spans="5:8" x14ac:dyDescent="0.25">
      <c r="E2743" t="str">
        <f>""</f>
        <v/>
      </c>
      <c r="F2743" t="str">
        <f>""</f>
        <v/>
      </c>
      <c r="H2743" t="str">
        <f>"TEXAS COUNTY &amp; DISTRICT RET"</f>
        <v>TEXAS COUNTY &amp; DISTRICT RET</v>
      </c>
    </row>
    <row r="2744" spans="5:8" x14ac:dyDescent="0.25">
      <c r="E2744" t="str">
        <f>""</f>
        <v/>
      </c>
      <c r="F2744" t="str">
        <f>""</f>
        <v/>
      </c>
      <c r="H2744" t="str">
        <f>"TEXAS COUNTY &amp; DISTRICT RET"</f>
        <v>TEXAS COUNTY &amp; DISTRICT RET</v>
      </c>
    </row>
    <row r="2745" spans="5:8" x14ac:dyDescent="0.25">
      <c r="E2745" t="str">
        <f>""</f>
        <v/>
      </c>
      <c r="F2745" t="str">
        <f>""</f>
        <v/>
      </c>
      <c r="H2745" t="str">
        <f>"TEXAS COUNTY &amp; DISTRICT RET"</f>
        <v>TEXAS COUNTY &amp; DISTRICT RET</v>
      </c>
    </row>
    <row r="2746" spans="5:8" x14ac:dyDescent="0.25">
      <c r="E2746" t="str">
        <f>""</f>
        <v/>
      </c>
      <c r="F2746" t="str">
        <f>""</f>
        <v/>
      </c>
      <c r="H2746" t="str">
        <f>"TEXAS COUNTY &amp; DISTRICT RET"</f>
        <v>TEXAS COUNTY &amp; DISTRICT RET</v>
      </c>
    </row>
    <row r="2747" spans="5:8" x14ac:dyDescent="0.25">
      <c r="E2747" t="str">
        <f>""</f>
        <v/>
      </c>
      <c r="F2747" t="str">
        <f>""</f>
        <v/>
      </c>
      <c r="H2747" t="str">
        <f>"TEXAS COUNTY &amp; DISTRICT RET"</f>
        <v>TEXAS COUNTY &amp; DISTRICT RET</v>
      </c>
    </row>
    <row r="2748" spans="5:8" x14ac:dyDescent="0.25">
      <c r="E2748" t="str">
        <f>""</f>
        <v/>
      </c>
      <c r="F2748" t="str">
        <f>""</f>
        <v/>
      </c>
      <c r="H2748" t="str">
        <f>"TEXAS COUNTY &amp; DISTRICT RET"</f>
        <v>TEXAS COUNTY &amp; DISTRICT RET</v>
      </c>
    </row>
    <row r="2749" spans="5:8" x14ac:dyDescent="0.25">
      <c r="E2749" t="str">
        <f>""</f>
        <v/>
      </c>
      <c r="F2749" t="str">
        <f>""</f>
        <v/>
      </c>
      <c r="H2749" t="str">
        <f>"TEXAS COUNTY &amp; DISTRICT RET"</f>
        <v>TEXAS COUNTY &amp; DISTRICT RET</v>
      </c>
    </row>
    <row r="2750" spans="5:8" x14ac:dyDescent="0.25">
      <c r="E2750" t="str">
        <f>""</f>
        <v/>
      </c>
      <c r="F2750" t="str">
        <f>""</f>
        <v/>
      </c>
      <c r="H2750" t="str">
        <f>"TEXAS COUNTY &amp; DISTRICT RET"</f>
        <v>TEXAS COUNTY &amp; DISTRICT RET</v>
      </c>
    </row>
    <row r="2751" spans="5:8" x14ac:dyDescent="0.25">
      <c r="E2751" t="str">
        <f>""</f>
        <v/>
      </c>
      <c r="F2751" t="str">
        <f>""</f>
        <v/>
      </c>
      <c r="H2751" t="str">
        <f>"TEXAS COUNTY &amp; DISTRICT RET"</f>
        <v>TEXAS COUNTY &amp; DISTRICT RET</v>
      </c>
    </row>
    <row r="2752" spans="5:8" x14ac:dyDescent="0.25">
      <c r="E2752" t="str">
        <f>""</f>
        <v/>
      </c>
      <c r="F2752" t="str">
        <f>""</f>
        <v/>
      </c>
      <c r="H2752" t="str">
        <f>"TEXAS COUNTY &amp; DISTRICT RET"</f>
        <v>TEXAS COUNTY &amp; DISTRICT RET</v>
      </c>
    </row>
    <row r="2753" spans="1:8" x14ac:dyDescent="0.25">
      <c r="E2753" t="str">
        <f>""</f>
        <v/>
      </c>
      <c r="F2753" t="str">
        <f>""</f>
        <v/>
      </c>
      <c r="H2753" t="str">
        <f>"TEXAS COUNTY &amp; DISTRICT RET"</f>
        <v>TEXAS COUNTY &amp; DISTRICT RET</v>
      </c>
    </row>
    <row r="2754" spans="1:8" x14ac:dyDescent="0.25">
      <c r="E2754" t="str">
        <f>""</f>
        <v/>
      </c>
      <c r="F2754" t="str">
        <f>""</f>
        <v/>
      </c>
      <c r="H2754" t="str">
        <f>"TEXAS COUNTY &amp; DISTRICT RET"</f>
        <v>TEXAS COUNTY &amp; DISTRICT RET</v>
      </c>
    </row>
    <row r="2755" spans="1:8" x14ac:dyDescent="0.25">
      <c r="E2755" t="str">
        <f>""</f>
        <v/>
      </c>
      <c r="F2755" t="str">
        <f>""</f>
        <v/>
      </c>
      <c r="H2755" t="str">
        <f>"TEXAS COUNTY &amp; DISTRICT RET"</f>
        <v>TEXAS COUNTY &amp; DISTRICT RET</v>
      </c>
    </row>
    <row r="2756" spans="1:8" x14ac:dyDescent="0.25">
      <c r="E2756" t="str">
        <f>"RET202010289790"</f>
        <v>RET202010289790</v>
      </c>
      <c r="F2756" t="str">
        <f>"TEXAS COUNTY  DISTRICT RET"</f>
        <v>TEXAS COUNTY  DISTRICT RET</v>
      </c>
      <c r="G2756" s="1">
        <v>6149.52</v>
      </c>
      <c r="H2756" t="str">
        <f>"TEXAS COUNTY  DISTRICT RET"</f>
        <v>TEXAS COUNTY  DISTRICT RET</v>
      </c>
    </row>
    <row r="2757" spans="1:8" x14ac:dyDescent="0.25">
      <c r="E2757" t="str">
        <f>""</f>
        <v/>
      </c>
      <c r="F2757" t="str">
        <f>""</f>
        <v/>
      </c>
      <c r="H2757" t="str">
        <f>"TEXAS COUNTY  DISTRICT RET"</f>
        <v>TEXAS COUNTY  DISTRICT RET</v>
      </c>
    </row>
    <row r="2758" spans="1:8" x14ac:dyDescent="0.25">
      <c r="E2758" t="str">
        <f>"RET202010289791"</f>
        <v>RET202010289791</v>
      </c>
      <c r="F2758" t="str">
        <f>"TEXAS COUNTY &amp; DISTRICT RET"</f>
        <v>TEXAS COUNTY &amp; DISTRICT RET</v>
      </c>
      <c r="G2758" s="1">
        <v>7320.6</v>
      </c>
      <c r="H2758" t="str">
        <f>"TEXAS COUNTY &amp; DISTRICT RET"</f>
        <v>TEXAS COUNTY &amp; DISTRICT RET</v>
      </c>
    </row>
    <row r="2759" spans="1:8" x14ac:dyDescent="0.25">
      <c r="E2759" t="str">
        <f>""</f>
        <v/>
      </c>
      <c r="F2759" t="str">
        <f>""</f>
        <v/>
      </c>
      <c r="H2759" t="str">
        <f>"TEXAS COUNTY &amp; DISTRICT RET"</f>
        <v>TEXAS COUNTY &amp; DISTRICT RET</v>
      </c>
    </row>
    <row r="2760" spans="1:8" x14ac:dyDescent="0.25">
      <c r="A2760" t="s">
        <v>0</v>
      </c>
      <c r="B2760">
        <v>48110</v>
      </c>
      <c r="C2760" s="1">
        <v>1512</v>
      </c>
      <c r="D2760" s="3">
        <v>44131</v>
      </c>
      <c r="E2760" t="str">
        <f>"LEG202009309111"</f>
        <v>LEG202009309111</v>
      </c>
      <c r="F2760" t="str">
        <f>"TEXAS LEGAL PROTECTION PLAN"</f>
        <v>TEXAS LEGAL PROTECTION PLAN</v>
      </c>
      <c r="G2760" s="1">
        <v>252</v>
      </c>
      <c r="H2760" t="str">
        <f>"TEXAS LEGAL PROTECTION PLAN"</f>
        <v>TEXAS LEGAL PROTECTION PLAN</v>
      </c>
    </row>
    <row r="2761" spans="1:8" x14ac:dyDescent="0.25">
      <c r="E2761" t="str">
        <f>"LEG202010149551"</f>
        <v>LEG202010149551</v>
      </c>
      <c r="F2761" t="str">
        <f>"TEXAS LEGAL PROTECTION PLAN"</f>
        <v>TEXAS LEGAL PROTECTION PLAN</v>
      </c>
      <c r="G2761" s="1">
        <v>252</v>
      </c>
      <c r="H2761" t="str">
        <f>"TEXAS LEGAL PROTECTION PLAN"</f>
        <v>TEXAS LEGAL PROTECTION PLAN</v>
      </c>
    </row>
    <row r="2762" spans="1:8" x14ac:dyDescent="0.25">
      <c r="E2762" t="str">
        <f>"LGF202009309111"</f>
        <v>LGF202009309111</v>
      </c>
      <c r="F2762" t="str">
        <f>"TEXAS LEGAL PROTECTION PLAN"</f>
        <v>TEXAS LEGAL PROTECTION PLAN</v>
      </c>
      <c r="G2762" s="1">
        <v>504</v>
      </c>
      <c r="H2762" t="str">
        <f>"TEXAS LEGAL PROTECTION PLAN"</f>
        <v>TEXAS LEGAL PROTECTION PLAN</v>
      </c>
    </row>
    <row r="2763" spans="1:8" x14ac:dyDescent="0.25">
      <c r="E2763" t="str">
        <f>"LGF202010149551"</f>
        <v>LGF202010149551</v>
      </c>
      <c r="F2763" t="str">
        <f>"TEXAS LEGAL PROTECTION PLAN"</f>
        <v>TEXAS LEGAL PROTECTION PLAN</v>
      </c>
      <c r="G2763" s="1">
        <v>504</v>
      </c>
      <c r="H2763" t="str">
        <f>"TEXAS LEGAL PROTECTION PLAN"</f>
        <v>TEXAS LEGAL PROTECTION PLAN</v>
      </c>
    </row>
    <row r="2764" spans="1:8" ht="15.75" thickBot="1" x14ac:dyDescent="0.3">
      <c r="C2764" s="2">
        <f>SUM(C2:C2763)</f>
        <v>3845989.859999998</v>
      </c>
      <c r="G2764" s="2">
        <f>SUM(G2:G2763)</f>
        <v>3846239.8600000013</v>
      </c>
    </row>
    <row r="2765" spans="1:8" ht="15.75" thickTop="1" x14ac:dyDescent="0.25"/>
  </sheetData>
  <autoFilter ref="A1:H27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2020-11-10T17:28:35Z</dcterms:created>
  <dcterms:modified xsi:type="dcterms:W3CDTF">2020-11-10T17:29:46Z</dcterms:modified>
</cp:coreProperties>
</file>