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300"/>
  </bookViews>
  <sheets>
    <sheet name="December 2021" sheetId="1" r:id="rId1"/>
  </sheets>
  <definedNames>
    <definedName name="_xlnm._FilterDatabase" localSheetId="0" hidden="1">'December 2021'!$A$1:$H$2722</definedName>
  </definedNames>
  <calcPr calcId="162913"/>
</workbook>
</file>

<file path=xl/calcChain.xml><?xml version="1.0" encoding="utf-8"?>
<calcChain xmlns="http://schemas.openxmlformats.org/spreadsheetml/2006/main">
  <c r="C2726" i="1" l="1"/>
  <c r="C2722" i="1" l="1"/>
  <c r="G2722" i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</calcChain>
</file>

<file path=xl/sharedStrings.xml><?xml version="1.0" encoding="utf-8"?>
<sst xmlns="http://schemas.openxmlformats.org/spreadsheetml/2006/main" count="580" uniqueCount="458">
  <si>
    <t>Name</t>
  </si>
  <si>
    <t>Check #</t>
  </si>
  <si>
    <t>Check Amount</t>
  </si>
  <si>
    <t>Check Date</t>
  </si>
  <si>
    <t>Invoice ID</t>
  </si>
  <si>
    <t>Invoice Desc</t>
  </si>
  <si>
    <t>GL Description</t>
  </si>
  <si>
    <t xml:space="preserve">GL Amount </t>
  </si>
  <si>
    <t>CHRISTINA CANNON</t>
  </si>
  <si>
    <t>973 MATERIALS  LLC</t>
  </si>
  <si>
    <t>A PLUS BAIL BONDS</t>
  </si>
  <si>
    <t>A RIFKIN CO</t>
  </si>
  <si>
    <t>ARNOLD OIL COMPANY OF AUSTIN LP</t>
  </si>
  <si>
    <t>HAVERDA ENTERPRISES INC</t>
  </si>
  <si>
    <t>ADAM DAKOTA ROWINS</t>
  </si>
  <si>
    <t>ADENA LEWIS</t>
  </si>
  <si>
    <t>ADVANCED GRAPHIX INC</t>
  </si>
  <si>
    <t>ALAMO  GROUP (TX)  INC</t>
  </si>
  <si>
    <t>DRIVE TRAIN  INC</t>
  </si>
  <si>
    <t>ALAN REDUS</t>
  </si>
  <si>
    <t>ALBERT NEAL PFEIFFER</t>
  </si>
  <si>
    <t>ALEXANDER YOUNG</t>
  </si>
  <si>
    <t>ALLISON  BASS &amp; MAGEE  LLP</t>
  </si>
  <si>
    <t>AMADEO DELEON</t>
  </si>
  <si>
    <t>313"</t>
  </si>
  <si>
    <t>AMAZON CAPITAL SERVICES INC</t>
  </si>
  <si>
    <t>AMERICAN FASTENERS  INC.</t>
  </si>
  <si>
    <t>AMERISOURCEBERGEN</t>
  </si>
  <si>
    <t>AMG PRINTING &amp; MAILING  LLC</t>
  </si>
  <si>
    <t>ANDERSON &amp; ANDERSON LAW FIRM PC</t>
  </si>
  <si>
    <t>ANIXTER INC</t>
  </si>
  <si>
    <t>C APPLEMAN ENT INC</t>
  </si>
  <si>
    <t>AQUA BEVERAGE COMPANY/OZARKA</t>
  </si>
  <si>
    <t>AQUA WATER SUPPLY CORPORATION</t>
  </si>
  <si>
    <t>ARCHITEXAS - ARCHITECTURE  PLANNING &amp; HISTORIC PRE</t>
  </si>
  <si>
    <t>THE ASSOCIATION OF RURAL COMMUNITIES IN TEXAS</t>
  </si>
  <si>
    <t>ARSENAL ADVERTISING LLC</t>
  </si>
  <si>
    <t>ARTHUR HURST</t>
  </si>
  <si>
    <t>ASCENSION SETON</t>
  </si>
  <si>
    <t>AT&amp;T</t>
  </si>
  <si>
    <t>AT&amp;T MOBILITY</t>
  </si>
  <si>
    <t>ATCO INTERNATIONAL</t>
  </si>
  <si>
    <t>GATEHOUSE MEDIA TEXAS HOLDINGS II  INC.</t>
  </si>
  <si>
    <t>BUTLER &amp; BURNS EAR NOSE &amp; THROAT ASSO</t>
  </si>
  <si>
    <t>AUSTIN GERIATRIC SPECIALISTS  PA</t>
  </si>
  <si>
    <t>PTL LAWN &amp; CLEANING SERVICE  INC</t>
  </si>
  <si>
    <t>AUTOMATED LOGIC CONTRACTING SERVICES  INC</t>
  </si>
  <si>
    <t>MICHAEL OLDHAM TIRE INC</t>
  </si>
  <si>
    <t>EDUARDO BARRIENTOS</t>
  </si>
  <si>
    <t>BASTROP AIR CONDITIONING &amp; HEATING</t>
  </si>
  <si>
    <t>BASTROP CO SHERIFF'S OFFICE FORFEITURE FUND</t>
  </si>
  <si>
    <t>BASTROP COUNTY SHERIFF'S DEPT</t>
  </si>
  <si>
    <t>224"</t>
  </si>
  <si>
    <t>DANIEL L HEPKER</t>
  </si>
  <si>
    <t>BASTROP COUNTY CARES</t>
  </si>
  <si>
    <t>BASTROP COUNTY TAX ASSESSOR</t>
  </si>
  <si>
    <t>BASTROP COUNTY CLERK</t>
  </si>
  <si>
    <t>BASTROP PROVIDENCE  LLC</t>
  </si>
  <si>
    <t>BASTROP VETERINARY HOSPITAL  INC.</t>
  </si>
  <si>
    <t>DAVID H OUTON</t>
  </si>
  <si>
    <t>BEN E KEITH CO.</t>
  </si>
  <si>
    <t>BERAN'S GIN MILL &amp; FEED CO  LP</t>
  </si>
  <si>
    <t>B C FOOD GROUP  LLC</t>
  </si>
  <si>
    <t>BIG CITY CRUSHED CONCRETE  LLC</t>
  </si>
  <si>
    <t>BIG WRENCH ROAD SERVICE INC</t>
  </si>
  <si>
    <t>MAURINE MC LEAN</t>
  </si>
  <si>
    <t>BIMBO FOODS INC</t>
  </si>
  <si>
    <t>BLUE 360 MEDIA  LLC</t>
  </si>
  <si>
    <t>BLUEBONNET ELECTRIC COOPERATIVE  INC.</t>
  </si>
  <si>
    <t>BLUEBONNET TRAILS MHMR</t>
  </si>
  <si>
    <t>BOEHRINGER INGELHEIM ANIMAL HEALTH USA INC.</t>
  </si>
  <si>
    <t>BRAUNTEX MATERIALS INC</t>
  </si>
  <si>
    <t>LAW OFFICE OF BRYAN W. MCDANIEL  P.C.</t>
  </si>
  <si>
    <t>BUREAU OF VITAL STATISTICS</t>
  </si>
  <si>
    <t>BURNET COUNTY SHERIFF</t>
  </si>
  <si>
    <t>C M PESL</t>
  </si>
  <si>
    <t>CAMERON COUNTY SHERIFF</t>
  </si>
  <si>
    <t>TIB-THE INDEPENDENT BANKERS BANK</t>
  </si>
  <si>
    <t>CAROLINE McCLIMON</t>
  </si>
  <si>
    <t>CAROLYN DILL</t>
  </si>
  <si>
    <t>CARTER &amp; DENHAM  PLLC</t>
  </si>
  <si>
    <t>CASA OF BASTROP COUNTY</t>
  </si>
  <si>
    <t>CDW GOVERNMENT INC</t>
  </si>
  <si>
    <t>CENTER MASS  INC</t>
  </si>
  <si>
    <t>CENTERPOINT ENERGY</t>
  </si>
  <si>
    <t>CENTEX IMAGE DESIGNS  LLC</t>
  </si>
  <si>
    <t>CHARLES SCHINDLER</t>
  </si>
  <si>
    <t>CHARM-TEX</t>
  </si>
  <si>
    <t>CHRIS MATT DILLON</t>
  </si>
  <si>
    <t>CHRISTIE SABO</t>
  </si>
  <si>
    <t>813"</t>
  </si>
  <si>
    <t>CHRISTINE FILES</t>
  </si>
  <si>
    <t>CINTAS</t>
  </si>
  <si>
    <t>CINTAS CORPORATION</t>
  </si>
  <si>
    <t>CITIBANK</t>
  </si>
  <si>
    <t>CITY OF AUSTIN</t>
  </si>
  <si>
    <t>CITY OF BASTROP</t>
  </si>
  <si>
    <t>CITY OF SMITHVILLE</t>
  </si>
  <si>
    <t>CLIFFORD POWER SYSTEMS INC</t>
  </si>
  <si>
    <t>CLINICAL PATHOLOGY LABORATORIES INC</t>
  </si>
  <si>
    <t>CLINTON HELGREN</t>
  </si>
  <si>
    <t>CML SECURITY  LLC</t>
  </si>
  <si>
    <t>CNA SURETY</t>
  </si>
  <si>
    <t>COMAL COUNTY SHERIFF</t>
  </si>
  <si>
    <t>COMMUNITY COFFEE COMPANY LLC</t>
  </si>
  <si>
    <t>CONNECTED NATION  INC.</t>
  </si>
  <si>
    <t>CONNIE CAMERON RABEL</t>
  </si>
  <si>
    <t>CONNIE SCHROEDER</t>
  </si>
  <si>
    <t>651  11/22/21"</t>
  </si>
  <si>
    <t>COOPER EQUIPMENT CO.</t>
  </si>
  <si>
    <t>COUNTY OF BEXAR - SHERIFF</t>
  </si>
  <si>
    <t>BUTLER ANIMAL HEALTH HOLDING COMPANY  LLC</t>
  </si>
  <si>
    <t>CRAIG WINTER</t>
  </si>
  <si>
    <t>163  11/01/21"</t>
  </si>
  <si>
    <t>NICHOLAS STEWART</t>
  </si>
  <si>
    <t>DALLAS COUNTY CONSTABLE PCT 1</t>
  </si>
  <si>
    <t>DARLON J. SOJAK</t>
  </si>
  <si>
    <t>DAVID B BROOKS</t>
  </si>
  <si>
    <t>DAVID BLAU</t>
  </si>
  <si>
    <t>JOHN DAVID LEWIS</t>
  </si>
  <si>
    <t>DAVID M COLLINS</t>
  </si>
  <si>
    <t>DEAN DAIRY CORPORATE  LLC</t>
  </si>
  <si>
    <t>DELL</t>
  </si>
  <si>
    <t>SETON FAMILY OF HOSPITALS</t>
  </si>
  <si>
    <t>DENTRUST DENTAL TX PC</t>
  </si>
  <si>
    <t>ALBERT R DIAZ</t>
  </si>
  <si>
    <t>TEXAS DEPARTMENT OF INFORMATION RESOURCES</t>
  </si>
  <si>
    <t>DISCOUNT DOOR &amp; METAL  LLC</t>
  </si>
  <si>
    <t>THE REINALT - THOMAS CORPORATION</t>
  </si>
  <si>
    <t>DON YOUNG</t>
  </si>
  <si>
    <t>DONNA SNOWDEN</t>
  </si>
  <si>
    <t>DONNIE STARK</t>
  </si>
  <si>
    <t>DORA HERNANDEZ</t>
  </si>
  <si>
    <t>DOUBLE D INTERNATIONAL FOOD CO.  INC.</t>
  </si>
  <si>
    <t>DOUBLE TUFF TRUCK TARPS INC</t>
  </si>
  <si>
    <t>DRONESENSE  INC.</t>
  </si>
  <si>
    <t>DUNNE &amp; JUAREZ L.L.C.</t>
  </si>
  <si>
    <t>ECOLAB INC</t>
  </si>
  <si>
    <t>EL PASO COUNTY SHERIFF</t>
  </si>
  <si>
    <t>ELECTION SYSTEMS &amp; SOFTWARE INC</t>
  </si>
  <si>
    <t>BLACKLANDS PUBLICATIONS INC</t>
  </si>
  <si>
    <t>RALPH DAVID GLASS</t>
  </si>
  <si>
    <t>CITY OF ELGIN UTILITIES</t>
  </si>
  <si>
    <t>ELLIOTT ELECTRIC SUPPLY INC</t>
  </si>
  <si>
    <t>EMERGENCY MGMT ASSOC OF TX</t>
  </si>
  <si>
    <t>ERGON ASPHALT &amp; EMULSIONS INC</t>
  </si>
  <si>
    <t>ERS-TX SOCIAL SECURITY PROGRAM</t>
  </si>
  <si>
    <t>EWALD KUBOTA  INC.</t>
  </si>
  <si>
    <t>BASTROP COUNTY WOMEN'S SHELTER</t>
  </si>
  <si>
    <t>FAYETTE COUNTY SHERIFF</t>
  </si>
  <si>
    <t>FEDERAL EXPRESS</t>
  </si>
  <si>
    <t>FIRST NATIONAL BANK BASTROP</t>
  </si>
  <si>
    <t>130  11/09/21"</t>
  </si>
  <si>
    <t>FLEETPRIDE</t>
  </si>
  <si>
    <t>4283929 DELAWARE LLC</t>
  </si>
  <si>
    <t>SCOTT ALLEN JOHNSON</t>
  </si>
  <si>
    <t>FRANCES HUNTER</t>
  </si>
  <si>
    <t>AUSTIN TRUCK AND EQUIPMENT  LTD</t>
  </si>
  <si>
    <t>FUN4SENIORS</t>
  </si>
  <si>
    <t>EUGENE W BRIGGS JR</t>
  </si>
  <si>
    <t>GALLS PARENT HOLDINGS LLC</t>
  </si>
  <si>
    <t>GARMENTS TO GO  INC</t>
  </si>
  <si>
    <t>GIPSON PENDERGRASS PEOPLE'S MORTUARY LLC</t>
  </si>
  <si>
    <t>GLOBAL FOCUS MARKETING &amp; DISTRIBUTION LTD</t>
  </si>
  <si>
    <t>GRAINGER INC</t>
  </si>
  <si>
    <t>GREG E NORMAN</t>
  </si>
  <si>
    <t>GREGORY VINKLAREK</t>
  </si>
  <si>
    <t>GT DISTRIBUTORS  INC.</t>
  </si>
  <si>
    <t>GUADALUPE COUNTY SHERIFF</t>
  </si>
  <si>
    <t>GULF COAST PAPER CO. INC.</t>
  </si>
  <si>
    <t>HALFF ASSOCIATES</t>
  </si>
  <si>
    <t>HARRIS COUNTY CONSTABLE PCT 1</t>
  </si>
  <si>
    <t>HAYS COUNTY CONSTABLE PCT 2</t>
  </si>
  <si>
    <t>HAYS COUNTY CONSTABLE PCT 5</t>
  </si>
  <si>
    <t>HEARTLAND QUARRIES  LLC</t>
  </si>
  <si>
    <t>HERBERT J BARTSCH JR</t>
  </si>
  <si>
    <t>BASCOM L HODGES JR</t>
  </si>
  <si>
    <t>HODGSON G ECKEL</t>
  </si>
  <si>
    <t>BD HOLT CO</t>
  </si>
  <si>
    <t>CITIBANK (SOUTH DAKOTA)N.A./THE HOME DEPOT</t>
  </si>
  <si>
    <t>NORTHWEST CASCADE INC</t>
  </si>
  <si>
    <t>GREGORY LUCAS</t>
  </si>
  <si>
    <t>HOWARD BURNS</t>
  </si>
  <si>
    <t>HEAT TRANSFER SOLUTIONS  INC.</t>
  </si>
  <si>
    <t>HYDRAULIC HOUSE INC</t>
  </si>
  <si>
    <t>I PLOW.COM LLC</t>
  </si>
  <si>
    <t>ICS</t>
  </si>
  <si>
    <t>IDEXX DISTRIBUTION INC</t>
  </si>
  <si>
    <t>INDUSTRIAL LAMINATES CORPORATION</t>
  </si>
  <si>
    <t>INDIGENT HEALTHCARE SOLUTIONS</t>
  </si>
  <si>
    <t>IRON MOUNTAIN RECORDS MGMT INC</t>
  </si>
  <si>
    <t>J D LANGLEY</t>
  </si>
  <si>
    <t>J J KELLER &amp; ASSOC INC</t>
  </si>
  <si>
    <t>JAMES BATES</t>
  </si>
  <si>
    <t>JAMES MONTGOMERY</t>
  </si>
  <si>
    <t>JARED HANEY</t>
  </si>
  <si>
    <t>JAY'S TIRE &amp; AUTOMOTIVE REPAIR INC</t>
  </si>
  <si>
    <t>JEFFREY GOGOLEWSKI</t>
  </si>
  <si>
    <t>JENKINS &amp; JENKINS LLP</t>
  </si>
  <si>
    <t>JIMMY C. DUTY JR.</t>
  </si>
  <si>
    <t>JOEY DZIENOWSKI</t>
  </si>
  <si>
    <t>JOHN KLEMM</t>
  </si>
  <si>
    <t>JOHNNY JOHNSTON</t>
  </si>
  <si>
    <t>JON ETHEREDGE</t>
  </si>
  <si>
    <t>JUSTIN MATTHEW FOHN</t>
  </si>
  <si>
    <t>KAYLA HERSCHAP</t>
  </si>
  <si>
    <t>KENNY STIEWERT</t>
  </si>
  <si>
    <t>KENT BROUSSARD TOWER RENTAL INC</t>
  </si>
  <si>
    <t>KOETTER FIRE PROTECTION OF AUSTIN  LLC</t>
  </si>
  <si>
    <t>KRISTIN L MILES</t>
  </si>
  <si>
    <t>KRISTINE PAYSSE</t>
  </si>
  <si>
    <t>KYLE LOWKE</t>
  </si>
  <si>
    <t>L. ROMAN TIRE SERVICE</t>
  </si>
  <si>
    <t>L4S  LLC</t>
  </si>
  <si>
    <t>LA GRANGE FORD</t>
  </si>
  <si>
    <t>THE LA GRANGE PARTS HOUSE INC</t>
  </si>
  <si>
    <t>LABATT INSTITUTIONAL SUPPLY CO</t>
  </si>
  <si>
    <t>LEADSONLINE  LLC</t>
  </si>
  <si>
    <t>LEE COUNTY SHERIFF</t>
  </si>
  <si>
    <t>LEE COUNTY WATER SUPPLY CORP</t>
  </si>
  <si>
    <t>LENNOX INDUSTRIES INC</t>
  </si>
  <si>
    <t>LEXISNEXIS RISK DATA MGMT INC</t>
  </si>
  <si>
    <t>LONGHORN EMERGENCY MEDICAL ASSOC PA</t>
  </si>
  <si>
    <t>LONNIE LAWRENCE DAVIS JR</t>
  </si>
  <si>
    <t>SCOTT BRYANT</t>
  </si>
  <si>
    <t>LOWE'S</t>
  </si>
  <si>
    <t>LYMAN PRODUCTS CORPORATION</t>
  </si>
  <si>
    <t>MADELINE MICHALEC</t>
  </si>
  <si>
    <t>MARIA ANFOSSO</t>
  </si>
  <si>
    <t>MARK T. MALONE  M.D. P.A</t>
  </si>
  <si>
    <t>MATHESON TRI-GAS INC</t>
  </si>
  <si>
    <t>McCREARY  VESELKA  BRAGG &amp; ALLEN P</t>
  </si>
  <si>
    <t>McKESSON MEDICAL-SURGICAL GOVERNMENT SOLUTIONS LLC</t>
  </si>
  <si>
    <t>MEAGHAN BARNES</t>
  </si>
  <si>
    <t>MEDIMPACT HEALTHCARE SYSTEMS INC</t>
  </si>
  <si>
    <t>MEDINA COUNTY SHERIFF</t>
  </si>
  <si>
    <t>MIDLAND COUNTY SHERIFF</t>
  </si>
  <si>
    <t>MIDTEX MATERIALS</t>
  </si>
  <si>
    <t>MIKE SCHROEDER</t>
  </si>
  <si>
    <t>FRANCES ELIZABETH DRUCK</t>
  </si>
  <si>
    <t>KIRSTEN GILLIAM GLENN</t>
  </si>
  <si>
    <t>ELIZABETH VALLE</t>
  </si>
  <si>
    <t>STARBUCK LYNN GAUL</t>
  </si>
  <si>
    <t>HEATH EDWARD FREPPON</t>
  </si>
  <si>
    <t>GLENIS JANELL MCBEE</t>
  </si>
  <si>
    <t>JEFF BELL MILLER JR</t>
  </si>
  <si>
    <t>ROBIN RAE CORUM</t>
  </si>
  <si>
    <t>ROBIN LYNN LILLEY</t>
  </si>
  <si>
    <t>RICHARD GERARD AMAYA</t>
  </si>
  <si>
    <t>AMY MICHELLE COLTER</t>
  </si>
  <si>
    <t>MITCHELL DWORSKI</t>
  </si>
  <si>
    <t>MOTOROLA SOLUTIONS  IN.C</t>
  </si>
  <si>
    <t>MOTOROLA TRUNKED USERS GROUP</t>
  </si>
  <si>
    <t>EK&amp;R ENTERPRISES  INC</t>
  </si>
  <si>
    <t>MUSTANG MACHINERY COMPANY LTD</t>
  </si>
  <si>
    <t>NACVSO</t>
  </si>
  <si>
    <t>NALCO COMPANY LLC</t>
  </si>
  <si>
    <t>NANCY M. LEWIS</t>
  </si>
  <si>
    <t>NATIONAL ASSN. OF COUNTIES</t>
  </si>
  <si>
    <t>INTERNATIONAL IDENTIFICATION INC.</t>
  </si>
  <si>
    <t>NATIONAL FOOD GROUP INC</t>
  </si>
  <si>
    <t>NATIONAL TACTICAL OFFICERS ASSOCIATION</t>
  </si>
  <si>
    <t>NEMO-Q INC</t>
  </si>
  <si>
    <t>JOHN NIXON</t>
  </si>
  <si>
    <t>NUECES COUNTY CONSTABLE PCT 2</t>
  </si>
  <si>
    <t>NUECES COUNTY CONSTABLE PCT 4</t>
  </si>
  <si>
    <t>O'REILLY AUTOMOTIVE  INC.</t>
  </si>
  <si>
    <t>OFFICE DEPOT</t>
  </si>
  <si>
    <t>OMNIBASE SERVICES OF TEXAS LP</t>
  </si>
  <si>
    <t>ON SITE SERVICES</t>
  </si>
  <si>
    <t>ORTHOPAEDIC ASSOCIATES OF CENTRAL TEXAS  PA</t>
  </si>
  <si>
    <t>OTTO MAROSKO</t>
  </si>
  <si>
    <t>HBD INC</t>
  </si>
  <si>
    <t>PAIGE TRACTORS INC</t>
  </si>
  <si>
    <t>PAPER RETRIEVER OF TEXAS</t>
  </si>
  <si>
    <t>SL PARKER PARTNERSHIP LLC</t>
  </si>
  <si>
    <t>PARTS TOWN  LLC</t>
  </si>
  <si>
    <t>PATRICK ELECTRIC SERVICE</t>
  </si>
  <si>
    <t>JACOB  COX</t>
  </si>
  <si>
    <t>PATTERSON  VETERINARY SUPPLY INC</t>
  </si>
  <si>
    <t>PAUL GRANADO</t>
  </si>
  <si>
    <t>PB ELECTRONICS  INC</t>
  </si>
  <si>
    <t>PFC PRODUCTS INC.</t>
  </si>
  <si>
    <t>PHILIP R DUCLOUX</t>
  </si>
  <si>
    <t>PHILLIP N. SLAUGHTER</t>
  </si>
  <si>
    <t>CLYDE HAYWOOD SR</t>
  </si>
  <si>
    <t>PB PROFESSIONAL SERVICES INC</t>
  </si>
  <si>
    <t>PITNEY BOWES GLOBAL FINANCIAL SERVICES</t>
  </si>
  <si>
    <t>AMERICAN PIZZA PARTNERS LP</t>
  </si>
  <si>
    <t>PM WILSON &amp; ASSOCIATES PLLC</t>
  </si>
  <si>
    <t>POST OAK HARDWARE  INC.</t>
  </si>
  <si>
    <t>PRODUCTIVITY CENTER INC</t>
  </si>
  <si>
    <t>PYE-BARKER FIRE &amp; SAFETY LLC</t>
  </si>
  <si>
    <t>R.R. BRINK LOCKING SYSTEMS INC</t>
  </si>
  <si>
    <t>NESTLE WATERS N AMERICA INC</t>
  </si>
  <si>
    <t>REBECA WEATHERLY</t>
  </si>
  <si>
    <t>REBECCA STRNAD</t>
  </si>
  <si>
    <t>RED WING BUSINESS ADVANTAGE ACCOUNT</t>
  </si>
  <si>
    <t>NRG ENERGY INC</t>
  </si>
  <si>
    <t>RESERVE ACCOUNT</t>
  </si>
  <si>
    <t>CIT TECHNOLOGY FINANCE</t>
  </si>
  <si>
    <t>ROADRUNNER PHARMACY  INC.</t>
  </si>
  <si>
    <t>ROADRUNNER RADIOLOGY EQUIP LLC</t>
  </si>
  <si>
    <t>ROBERT M SMITH III</t>
  </si>
  <si>
    <t>ROBERT MADDEN INDUSTRIES LTD</t>
  </si>
  <si>
    <t>ROBERT PUGH</t>
  </si>
  <si>
    <t>ROBERT C. STEUBING</t>
  </si>
  <si>
    <t>RON GARLICK</t>
  </si>
  <si>
    <t>RONALD BEHRENS</t>
  </si>
  <si>
    <t>ROSANNA GARZA</t>
  </si>
  <si>
    <t>RUTH A. CARROLL</t>
  </si>
  <si>
    <t>FLB SAFETY ENTERPRISES  INC.</t>
  </si>
  <si>
    <t>SAM HOUSTON STATE UNIVERSITY</t>
  </si>
  <si>
    <t>SAMMY LERMA III MD</t>
  </si>
  <si>
    <t>SECURUS TECHNOLOGIES INC</t>
  </si>
  <si>
    <t>SERENITYSTAR INC</t>
  </si>
  <si>
    <t>SETON HEALTHCARE SPONSORED PROJECTS</t>
  </si>
  <si>
    <t>SHARON HANCOCK</t>
  </si>
  <si>
    <t>962  11/22/21"</t>
  </si>
  <si>
    <t>SHAWN ZAPALAC</t>
  </si>
  <si>
    <t>SHI GOVERNMENT SOLUTIONS INC.</t>
  </si>
  <si>
    <t>SHOPPA'S FARM SUPPLY</t>
  </si>
  <si>
    <t>SHRED-IT US HOLDCO  INC</t>
  </si>
  <si>
    <t>RONALD JOHN CALDWELL JR</t>
  </si>
  <si>
    <t>SINGLETON ASSOCIATES  PA</t>
  </si>
  <si>
    <t>SIRCHIE FINGER PRINT LABORATORIES</t>
  </si>
  <si>
    <t>SMITH STORES  INC.</t>
  </si>
  <si>
    <t>SMITHVILLE AUTO PARTS  INC</t>
  </si>
  <si>
    <t>SOUTH CENTRAL PLANNING AND DEVELOPMENT COMMISSION</t>
  </si>
  <si>
    <t>SOUTHERN COMPUTER WAREHOUSE INC</t>
  </si>
  <si>
    <t>SOUTHERN TIRE MART LLC</t>
  </si>
  <si>
    <t>DS WATERS OF AMERICA INC</t>
  </si>
  <si>
    <t>SPECIALTY VETERINARY PHARMACY INC</t>
  </si>
  <si>
    <t>SRIDHAR P REDDY MD PA</t>
  </si>
  <si>
    <t>ST DAVID'S HEALTHCARE PARTNERSHIP</t>
  </si>
  <si>
    <t>ST. DAVIDS HEART &amp; VASCULAR  PLLC</t>
  </si>
  <si>
    <t>ST. MARK'S MEDICAL CENTER</t>
  </si>
  <si>
    <t>STAPLES  INC.</t>
  </si>
  <si>
    <t>STATE OF TEXAS</t>
  </si>
  <si>
    <t>STEPHEN R BECK</t>
  </si>
  <si>
    <t>STERICYCLE  INC.</t>
  </si>
  <si>
    <t>STEVE GRANADO</t>
  </si>
  <si>
    <t>STEVIE BURCHELL</t>
  </si>
  <si>
    <t>SUN COAST RESOURCES</t>
  </si>
  <si>
    <t>SUNBELT RENTALS INC</t>
  </si>
  <si>
    <t>SUNSHIELD WINDOW TINT</t>
  </si>
  <si>
    <t>T4 DISTRIBUTION  LLC</t>
  </si>
  <si>
    <t>TEXAS ASSOCIATION OF ASSESSING OFFICERS</t>
  </si>
  <si>
    <t>TAVCO SERVICES INC</t>
  </si>
  <si>
    <t>TEXAS COMMISSION ON LAW ENFORCEMENT</t>
  </si>
  <si>
    <t>TEXAS DISTRICT &amp; COUNTY ATTORNEYS ASSOCIATION</t>
  </si>
  <si>
    <t>TERRILL L FLENNIKEN</t>
  </si>
  <si>
    <t>JOHN J FIETSAM INC</t>
  </si>
  <si>
    <t>TEX-CON OIL CO</t>
  </si>
  <si>
    <t>TEXAN EYE  P.A.</t>
  </si>
  <si>
    <t>TEXAS ASSOCIATES INSURORS AGENCY</t>
  </si>
  <si>
    <t>TEXAS ASSOCIATION OF COUNTIES</t>
  </si>
  <si>
    <t>TEXAS ASSOCIATION OF ELECTIONS ADMINISTRATORS</t>
  </si>
  <si>
    <t>TEXAS COMMISSION ON ENVIRONMENTAL QUALITY</t>
  </si>
  <si>
    <t>TEXAS DEPT OF PUBLIC SAFETY</t>
  </si>
  <si>
    <t>TEXAS DISPOSAL SYSTEMS  INC.</t>
  </si>
  <si>
    <t>TEXAS ECONOMIC DEVELOPMENT COUNCIL</t>
  </si>
  <si>
    <t>TXFACT  LLC</t>
  </si>
  <si>
    <t>TEXAS MATERIALS GROUP  INC.</t>
  </si>
  <si>
    <t>TEXAS ONCOLOGY</t>
  </si>
  <si>
    <t>TEXAS PARKS &amp; WILDLIFE DEPARTMENT</t>
  </si>
  <si>
    <t>BRETT DENNEY</t>
  </si>
  <si>
    <t>TEXAS STATE UNIVERSITY</t>
  </si>
  <si>
    <t>TEXAS VISION CLINIC  PLLC</t>
  </si>
  <si>
    <t>JEFFREY TOUSSAINT</t>
  </si>
  <si>
    <t>BUG MASTER EXTERMINATING SERVICES  LTD</t>
  </si>
  <si>
    <t>RICHARD NELSON MOORE</t>
  </si>
  <si>
    <t>THE NITSCHE GROUP</t>
  </si>
  <si>
    <t>THE PRODUCT CENTER</t>
  </si>
  <si>
    <t>THE TREE HOUSE EARLY LEARNING CENTER</t>
  </si>
  <si>
    <t>WEST PUBLISHING CORPORATION</t>
  </si>
  <si>
    <t>TWE-ADVANCE/NEWHOUSE PARTNERSHIP</t>
  </si>
  <si>
    <t>TELVA D KESLER</t>
  </si>
  <si>
    <t>TRACTOR SUPPLY CREDIT PLAN</t>
  </si>
  <si>
    <t>TRAVIS COUNTY CONSTABLE PCT 5</t>
  </si>
  <si>
    <t>TRAVIS COUNTY EMERGENCY PHYSICIANS PA</t>
  </si>
  <si>
    <t>TRAVIS COUNTY MEDICAL EXAMINER</t>
  </si>
  <si>
    <t>TRAVIS MATERIALS GROUP LTD</t>
  </si>
  <si>
    <t>SETON FAMILY OF DOCTORS</t>
  </si>
  <si>
    <t>TRI-TECH FORENSICS  INC.</t>
  </si>
  <si>
    <t>TRIPLE-S STEEL HOLDINGS INC.</t>
  </si>
  <si>
    <t>TULL FARLEY</t>
  </si>
  <si>
    <t>TVMDL</t>
  </si>
  <si>
    <t>TWISTED WRENCHES FLEET SERVICE LLC</t>
  </si>
  <si>
    <t>TY OTT</t>
  </si>
  <si>
    <t>TYLER TECHNOLOGIES INC</t>
  </si>
  <si>
    <t>ULINE  INC.</t>
  </si>
  <si>
    <t>VERNON HORSELY</t>
  </si>
  <si>
    <t>TEXAS DEPARTMENT OF STATE HEALTH SERVICES</t>
  </si>
  <si>
    <t>US BANK NA</t>
  </si>
  <si>
    <t>VTX COMMUNICATIONS  LLC</t>
  </si>
  <si>
    <t>VULCAN  INC.</t>
  </si>
  <si>
    <t>WAGEWORKS INC  FSA/HSA</t>
  </si>
  <si>
    <t>WALLER COUNTY ASPHALT INC</t>
  </si>
  <si>
    <t>WASTE CONNECTIONS LONE STAR. INC.</t>
  </si>
  <si>
    <t>WASTE MANAGEMENT OF TEXAS  INC</t>
  </si>
  <si>
    <t>WIND KNOT INCORPORATED</t>
  </si>
  <si>
    <t>LEYLA YATIM-ALIN</t>
  </si>
  <si>
    <t>MAO PHARMACY INC</t>
  </si>
  <si>
    <t>WILLIAM WAGNER</t>
  </si>
  <si>
    <t>WINZER CORPORATION</t>
  </si>
  <si>
    <t>WORKPLACE RESOURCE</t>
  </si>
  <si>
    <t>YVONNE ROCHA</t>
  </si>
  <si>
    <t>ZOETIS US LLC</t>
  </si>
  <si>
    <t>CHASCO CONSTRUCTORS LTD LLP</t>
  </si>
  <si>
    <t>CONVERGENCE CABLING  INC.</t>
  </si>
  <si>
    <t>ASPHALT  INC.</t>
  </si>
  <si>
    <t>MADELINE EDEN</t>
  </si>
  <si>
    <t>CAT5 COMMERCE  LLC</t>
  </si>
  <si>
    <t>SAM CAR INC.</t>
  </si>
  <si>
    <t>TEXAS DIVISION OF EMERGENCY MANAGEMENT</t>
  </si>
  <si>
    <t>U.S. BANK NATIONAL ASSOCIATION</t>
  </si>
  <si>
    <t>ALLSTATE-AMERICAN HERITAGE LIFE INS CO</t>
  </si>
  <si>
    <t>AmWINS Group Benefits  Inc.</t>
  </si>
  <si>
    <t>BASTROP COUNTY ADULT PROBATION</t>
  </si>
  <si>
    <t>COLONIAL LIFE &amp; ACCIDENT INS. CO.</t>
  </si>
  <si>
    <t>GUARDIAN</t>
  </si>
  <si>
    <t>INDIANA STATE CENTRAL COLLECTION UNIT</t>
  </si>
  <si>
    <t>IRS-PAYROLL TAXES</t>
  </si>
  <si>
    <t>GERALD FLORES OLIVO</t>
  </si>
  <si>
    <t>PHI AIR MEDICAL  LLC</t>
  </si>
  <si>
    <t>STERLING HEALTH SERVICES  INC.</t>
  </si>
  <si>
    <t>TAC HEALTH BENEFITS POOL</t>
  </si>
  <si>
    <t>JNT RESOURCE PARTNERS  LP</t>
  </si>
  <si>
    <t>TEXAS ATTY.GENERAL'S OFFICE</t>
  </si>
  <si>
    <t>TEXAS CNTY &amp; DIST RETIREMENT SYS</t>
  </si>
  <si>
    <t>TEXAS LEGAL PROTECTION PLAN INC</t>
  </si>
  <si>
    <t>AMERICAN ASSN OF NOTARIES</t>
  </si>
  <si>
    <t>JIM ATTRA INC</t>
  </si>
  <si>
    <t>B&amp;H FOTO &amp; ELECTRONICS CORP</t>
  </si>
  <si>
    <t>MULTI SERVICE TECHNOLOGY SOLUTIONS  INC.</t>
  </si>
  <si>
    <t>CARHARTT  INC.</t>
  </si>
  <si>
    <t>CISCO SYSTEMS INC</t>
  </si>
  <si>
    <t>NEW URBAN RESEARCH  INC</t>
  </si>
  <si>
    <t>MUNICIPAL SERVICES BUREAU/GILA GROUP</t>
  </si>
  <si>
    <t>DEPARTMENT OF TRANSPORTATION - FMCSA</t>
  </si>
  <si>
    <t>DICKENS LOCKSMITH INC</t>
  </si>
  <si>
    <t>MAREN MANAGEMENT LLC</t>
  </si>
  <si>
    <t>XXVI HOLDINGS INC</t>
  </si>
  <si>
    <t>TECHNA HOSPITALITY LP DBA</t>
  </si>
  <si>
    <t>HARBOR FREIGHT TOOLS USA  INC</t>
  </si>
  <si>
    <t>HEB GROCERY CO LP</t>
  </si>
  <si>
    <t>KLEEN-RITE CORPORATION</t>
  </si>
  <si>
    <t>MAGNATAG  INC</t>
  </si>
  <si>
    <t>NORTHERN TOOL &amp; EQUIPMENT COMPANY. INC</t>
  </si>
  <si>
    <t>NCS PEARSON INC</t>
  </si>
  <si>
    <t>BASTROP CAR WASH SERVICES LLC</t>
  </si>
  <si>
    <t>SAMES BASTROP FORD INC</t>
  </si>
  <si>
    <t>TEXAS FLOODPLAIN MANAGEMENT ASSOCIATION</t>
  </si>
  <si>
    <t>TEXAS PUBLIC PURCHASING ASSOCIATION</t>
  </si>
  <si>
    <t>UNITED PARCEL SERVICE</t>
  </si>
  <si>
    <t>WALMART # 01-1042</t>
  </si>
  <si>
    <t>WASHINGTON COUNTY - VOIDED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</si>
</sst>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0" fontId="18" fillId="0" borderId="0" xfId="0" applyNumberFormat="1" applyFont="1"/>
    <xf numFmtId="40" fontId="0" fillId="0" borderId="0" xfId="0" applyNumberFormat="1"/>
    <xf numFmtId="40" fontId="0" fillId="0" borderId="10" xfId="0" applyNumberFormat="1" applyBorder="1"/>
    <xf numFmtId="0" fontId="0" fillId="0" borderId="0" xfId="0" applyFill="1"/>
    <xf numFmtId="40" fontId="0" fillId="0" borderId="0" xfId="0" applyNumberFormat="1" applyFill="1"/>
    <xf numFmtId="1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3.42578125" customWidth="1"/>
    <col min="2" max="2" width="10" bestFit="1" customWidth="1"/>
    <col min="3" max="3" width="16.28515625" style="4" bestFit="1" customWidth="1"/>
    <col min="4" max="4" width="13.140625" bestFit="1" customWidth="1"/>
    <col min="5" max="5" width="21" bestFit="1" customWidth="1"/>
    <col min="6" max="6" width="36.7109375" bestFit="1" customWidth="1"/>
    <col min="7" max="7" width="13.5703125" style="4" bestFit="1" customWidth="1"/>
    <col min="8" max="8" width="36.7109375" bestFit="1" customWidth="1"/>
  </cols>
  <sheetData>
    <row r="1" spans="1:8" s="2" customForma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7</v>
      </c>
      <c r="H1" s="2" t="s">
        <v>6</v>
      </c>
    </row>
    <row r="2" spans="1:8" x14ac:dyDescent="0.25">
      <c r="A2" t="s">
        <v>8</v>
      </c>
      <c r="B2">
        <v>138158</v>
      </c>
      <c r="C2" s="4">
        <v>30</v>
      </c>
      <c r="D2" s="1">
        <v>44543</v>
      </c>
      <c r="E2" t="str">
        <f>"202112067679"</f>
        <v>202112067679</v>
      </c>
      <c r="F2" t="str">
        <f>"REIMBURSEMENT FOR BOND STICKER"</f>
        <v>REIMBURSEMENT FOR BOND STICKER</v>
      </c>
      <c r="G2" s="4">
        <v>30</v>
      </c>
      <c r="H2" t="str">
        <f>"REIMBURSEMENT FOR BOND STICKER"</f>
        <v>REIMBURSEMENT FOR BOND STICKER</v>
      </c>
    </row>
    <row r="3" spans="1:8" x14ac:dyDescent="0.25">
      <c r="A3" t="s">
        <v>9</v>
      </c>
      <c r="B3">
        <v>5479</v>
      </c>
      <c r="C3" s="4">
        <v>21043.71</v>
      </c>
      <c r="D3" s="1">
        <v>44544</v>
      </c>
      <c r="E3" t="str">
        <f>"9725-001-124164"</f>
        <v>9725-001-124164</v>
      </c>
      <c r="F3" t="str">
        <f t="shared" ref="F3:F15" si="0">"RECYCLED BASE / PCT#2"</f>
        <v>RECYCLED BASE / PCT#2</v>
      </c>
      <c r="G3" s="4">
        <v>3142.08</v>
      </c>
      <c r="H3" t="str">
        <f t="shared" ref="H3:H15" si="1">"RECYCLED BASE / PCT#2"</f>
        <v>RECYCLED BASE / PCT#2</v>
      </c>
    </row>
    <row r="4" spans="1:8" x14ac:dyDescent="0.25">
      <c r="E4" t="str">
        <f>"9725-001-124186"</f>
        <v>9725-001-124186</v>
      </c>
      <c r="F4" t="str">
        <f t="shared" si="0"/>
        <v>RECYCLED BASE / PCT#2</v>
      </c>
      <c r="G4" s="4">
        <v>2926.26</v>
      </c>
      <c r="H4" t="str">
        <f t="shared" si="1"/>
        <v>RECYCLED BASE / PCT#2</v>
      </c>
    </row>
    <row r="5" spans="1:8" x14ac:dyDescent="0.25">
      <c r="E5" t="str">
        <f>"9725-001-124207"</f>
        <v>9725-001-124207</v>
      </c>
      <c r="F5" t="str">
        <f t="shared" si="0"/>
        <v>RECYCLED BASE / PCT#2</v>
      </c>
      <c r="G5" s="4">
        <v>2129.67</v>
      </c>
      <c r="H5" t="str">
        <f t="shared" si="1"/>
        <v>RECYCLED BASE / PCT#2</v>
      </c>
    </row>
    <row r="6" spans="1:8" x14ac:dyDescent="0.25">
      <c r="E6" t="str">
        <f>"9725-001-124227"</f>
        <v>9725-001-124227</v>
      </c>
      <c r="F6" t="str">
        <f t="shared" si="0"/>
        <v>RECYCLED BASE / PCT#2</v>
      </c>
      <c r="G6" s="4">
        <v>2519.46</v>
      </c>
      <c r="H6" t="str">
        <f t="shared" si="1"/>
        <v>RECYCLED BASE / PCT#2</v>
      </c>
    </row>
    <row r="7" spans="1:8" x14ac:dyDescent="0.25">
      <c r="E7" t="str">
        <f>"9725-001-124299"</f>
        <v>9725-001-124299</v>
      </c>
      <c r="F7" t="str">
        <f t="shared" si="0"/>
        <v>RECYCLED BASE / PCT#2</v>
      </c>
      <c r="G7" s="4">
        <v>1203.48</v>
      </c>
      <c r="H7" t="str">
        <f t="shared" si="1"/>
        <v>RECYCLED BASE / PCT#2</v>
      </c>
    </row>
    <row r="8" spans="1:8" x14ac:dyDescent="0.25">
      <c r="E8" t="str">
        <f>"9725-001-124320"</f>
        <v>9725-001-124320</v>
      </c>
      <c r="F8" t="str">
        <f t="shared" si="0"/>
        <v>RECYCLED BASE / PCT#2</v>
      </c>
      <c r="G8" s="4">
        <v>730.98</v>
      </c>
      <c r="H8" t="str">
        <f t="shared" si="1"/>
        <v>RECYCLED BASE / PCT#2</v>
      </c>
    </row>
    <row r="9" spans="1:8" x14ac:dyDescent="0.25">
      <c r="E9" t="str">
        <f>"9725-019-124182"</f>
        <v>9725-019-124182</v>
      </c>
      <c r="F9" t="str">
        <f t="shared" si="0"/>
        <v>RECYCLED BASE / PCT#2</v>
      </c>
      <c r="G9" s="4">
        <v>1659.33</v>
      </c>
      <c r="H9" t="str">
        <f t="shared" si="1"/>
        <v>RECYCLED BASE / PCT#2</v>
      </c>
    </row>
    <row r="10" spans="1:8" x14ac:dyDescent="0.25">
      <c r="E10" t="str">
        <f>"9725-019-124202"</f>
        <v>9725-019-124202</v>
      </c>
      <c r="F10" t="str">
        <f t="shared" si="0"/>
        <v>RECYCLED BASE / PCT#2</v>
      </c>
      <c r="G10" s="4">
        <v>1213.6500000000001</v>
      </c>
      <c r="H10" t="str">
        <f t="shared" si="1"/>
        <v>RECYCLED BASE / PCT#2</v>
      </c>
    </row>
    <row r="11" spans="1:8" x14ac:dyDescent="0.25">
      <c r="E11" t="str">
        <f>"9725-019-124221"</f>
        <v>9725-019-124221</v>
      </c>
      <c r="F11" t="str">
        <f t="shared" si="0"/>
        <v>RECYCLED BASE / PCT#2</v>
      </c>
      <c r="G11" s="4">
        <v>1280.6099999999999</v>
      </c>
      <c r="H11" t="str">
        <f t="shared" si="1"/>
        <v>RECYCLED BASE / PCT#2</v>
      </c>
    </row>
    <row r="12" spans="1:8" x14ac:dyDescent="0.25">
      <c r="E12" t="str">
        <f>"9725-019-124261"</f>
        <v>9725-019-124261</v>
      </c>
      <c r="F12" t="str">
        <f t="shared" si="0"/>
        <v>RECYCLED BASE / PCT#2</v>
      </c>
      <c r="G12" s="4">
        <v>217.26</v>
      </c>
      <c r="H12" t="str">
        <f t="shared" si="1"/>
        <v>RECYCLED BASE / PCT#2</v>
      </c>
    </row>
    <row r="13" spans="1:8" x14ac:dyDescent="0.25">
      <c r="E13" t="str">
        <f>"9725-019-124280"</f>
        <v>9725-019-124280</v>
      </c>
      <c r="F13" t="str">
        <f t="shared" si="0"/>
        <v>RECYCLED BASE / PCT#2</v>
      </c>
      <c r="G13" s="4">
        <v>1450.08</v>
      </c>
      <c r="H13" t="str">
        <f t="shared" si="1"/>
        <v>RECYCLED BASE / PCT#2</v>
      </c>
    </row>
    <row r="14" spans="1:8" x14ac:dyDescent="0.25">
      <c r="E14" t="str">
        <f>"9725-019-124315"</f>
        <v>9725-019-124315</v>
      </c>
      <c r="F14" t="str">
        <f t="shared" si="0"/>
        <v>RECYCLED BASE / PCT#2</v>
      </c>
      <c r="G14" s="4">
        <v>2156.31</v>
      </c>
      <c r="H14" t="str">
        <f t="shared" si="1"/>
        <v>RECYCLED BASE / PCT#2</v>
      </c>
    </row>
    <row r="15" spans="1:8" x14ac:dyDescent="0.25">
      <c r="E15" t="str">
        <f>"9725-019-124332"</f>
        <v>9725-019-124332</v>
      </c>
      <c r="F15" t="str">
        <f t="shared" si="0"/>
        <v>RECYCLED BASE / PCT#2</v>
      </c>
      <c r="G15" s="4">
        <v>414.54</v>
      </c>
      <c r="H15" t="str">
        <f t="shared" si="1"/>
        <v>RECYCLED BASE / PCT#2</v>
      </c>
    </row>
    <row r="16" spans="1:8" x14ac:dyDescent="0.25">
      <c r="A16" t="s">
        <v>9</v>
      </c>
      <c r="B16">
        <v>5557</v>
      </c>
      <c r="C16" s="4">
        <v>15784.47</v>
      </c>
      <c r="D16" s="1">
        <v>44558</v>
      </c>
      <c r="E16" t="str">
        <f>"9725-001-124333"</f>
        <v>9725-001-124333</v>
      </c>
      <c r="F16" t="str">
        <f>"RECYCLED BASE / PCT #2"</f>
        <v>RECYCLED BASE / PCT #2</v>
      </c>
      <c r="G16" s="4">
        <v>704.88</v>
      </c>
      <c r="H16" t="str">
        <f>"RECYCLED BASE / PCT #2"</f>
        <v>RECYCLED BASE / PCT #2</v>
      </c>
    </row>
    <row r="17" spans="1:8" x14ac:dyDescent="0.25">
      <c r="E17" t="str">
        <f>"9725-001-124430"</f>
        <v>9725-001-124430</v>
      </c>
      <c r="F17" t="str">
        <f>"RECYCLED BASE / PCT #2"</f>
        <v>RECYCLED BASE / PCT #2</v>
      </c>
      <c r="G17" s="4">
        <v>1875.06</v>
      </c>
      <c r="H17" t="str">
        <f>"RECYCLED BASE / PCT #2"</f>
        <v>RECYCLED BASE / PCT #2</v>
      </c>
    </row>
    <row r="18" spans="1:8" x14ac:dyDescent="0.25">
      <c r="E18" t="str">
        <f>"9725-001-124445"</f>
        <v>9725-001-124445</v>
      </c>
      <c r="F18" t="str">
        <f>"RECYCLED BASE / PCT#2-FLOOD"</f>
        <v>RECYCLED BASE / PCT#2-FLOOD</v>
      </c>
      <c r="G18" s="4">
        <v>1309.4100000000001</v>
      </c>
      <c r="H18" t="str">
        <f>"RECYCLED BASE / PCT#2-FLOOD"</f>
        <v>RECYCLED BASE / PCT#2-FLOOD</v>
      </c>
    </row>
    <row r="19" spans="1:8" x14ac:dyDescent="0.25">
      <c r="E19" t="str">
        <f>"9725-001-124469"</f>
        <v>9725-001-124469</v>
      </c>
      <c r="F19" t="str">
        <f>"RECYCLED BASE / PCT #2"</f>
        <v>RECYCLED BASE / PCT #2</v>
      </c>
      <c r="G19" s="4">
        <v>468.99</v>
      </c>
      <c r="H19" t="str">
        <f>"RECYCLED BASE / PCT #2"</f>
        <v>RECYCLED BASE / PCT #2</v>
      </c>
    </row>
    <row r="20" spans="1:8" x14ac:dyDescent="0.25">
      <c r="E20" t="str">
        <f>"9725-001-124484"</f>
        <v>9725-001-124484</v>
      </c>
      <c r="F20" t="str">
        <f>"RECYCLED BASE / PCT #2"</f>
        <v>RECYCLED BASE / PCT #2</v>
      </c>
      <c r="G20" s="4">
        <v>2192.4899999999998</v>
      </c>
      <c r="H20" t="str">
        <f>"RECYCLED BASE / PCT #2"</f>
        <v>RECYCLED BASE / PCT #2</v>
      </c>
    </row>
    <row r="21" spans="1:8" x14ac:dyDescent="0.25">
      <c r="E21" t="str">
        <f>"9725-001-124501"</f>
        <v>9725-001-124501</v>
      </c>
      <c r="F21" t="str">
        <f>"RECYCLED BASE / PCT #2"</f>
        <v>RECYCLED BASE / PCT #2</v>
      </c>
      <c r="G21" s="4">
        <v>241.74</v>
      </c>
      <c r="H21" t="str">
        <f>"RECYCLED BASE / PCT #2"</f>
        <v>RECYCLED BASE / PCT #2</v>
      </c>
    </row>
    <row r="22" spans="1:8" x14ac:dyDescent="0.25">
      <c r="E22" t="str">
        <f>"9725-004-124548"</f>
        <v>9725-004-124548</v>
      </c>
      <c r="F22" t="str">
        <f>"RECYCLED BASE / PCT #1"</f>
        <v>RECYCLED BASE / PCT #1</v>
      </c>
      <c r="G22" s="4">
        <v>128.52000000000001</v>
      </c>
      <c r="H22" t="str">
        <f>"RECYCLED BASE / PCT #1"</f>
        <v>RECYCLED BASE / PCT #1</v>
      </c>
    </row>
    <row r="23" spans="1:8" x14ac:dyDescent="0.25">
      <c r="E23" t="str">
        <f>"9725-004-124567"</f>
        <v>9725-004-124567</v>
      </c>
      <c r="F23" t="str">
        <f>"RECYCLED BASE / PCT #1"</f>
        <v>RECYCLED BASE / PCT #1</v>
      </c>
      <c r="G23" s="4">
        <v>149.13</v>
      </c>
      <c r="H23" t="str">
        <f>"RECYCLED BASE / PCT #1"</f>
        <v>RECYCLED BASE / PCT #1</v>
      </c>
    </row>
    <row r="24" spans="1:8" x14ac:dyDescent="0.25">
      <c r="E24" t="str">
        <f>"9725-004-124589"</f>
        <v>9725-004-124589</v>
      </c>
      <c r="F24" t="str">
        <f>"RECYCLED BASE / PCT #1"</f>
        <v>RECYCLED BASE / PCT #1</v>
      </c>
      <c r="G24" s="4">
        <v>410.76</v>
      </c>
      <c r="H24" t="str">
        <f>"RECYCLED BASE / PCT #1"</f>
        <v>RECYCLED BASE / PCT #1</v>
      </c>
    </row>
    <row r="25" spans="1:8" x14ac:dyDescent="0.25">
      <c r="E25" t="str">
        <f>"9725-019-124349"</f>
        <v>9725-019-124349</v>
      </c>
      <c r="F25" t="str">
        <f>"RECYCLED BASE / PCT #2-FLOOD"</f>
        <v>RECYCLED BASE / PCT #2-FLOOD</v>
      </c>
      <c r="G25" s="4">
        <v>8094.6</v>
      </c>
      <c r="H25" t="str">
        <f>"RECYCLED BASE / PCT #2-FLOOD"</f>
        <v>RECYCLED BASE / PCT #2-FLOOD</v>
      </c>
    </row>
    <row r="26" spans="1:8" x14ac:dyDescent="0.25">
      <c r="E26" t="str">
        <f>"9725001-124369"</f>
        <v>9725001-124369</v>
      </c>
      <c r="F26" t="str">
        <f>"RECYCLED BASE / PCT#2-FLOOD"</f>
        <v>RECYCLED BASE / PCT#2-FLOOD</v>
      </c>
      <c r="G26" s="4">
        <v>208.89</v>
      </c>
      <c r="H26" t="str">
        <f>"RECYCLED BASE / PCT#2-FLOOD"</f>
        <v>RECYCLED BASE / PCT#2-FLOOD</v>
      </c>
    </row>
    <row r="27" spans="1:8" x14ac:dyDescent="0.25">
      <c r="A27" t="s">
        <v>10</v>
      </c>
      <c r="B27">
        <v>138159</v>
      </c>
      <c r="C27" s="4">
        <v>75</v>
      </c>
      <c r="D27" s="1">
        <v>44543</v>
      </c>
      <c r="E27" t="str">
        <f>"202112067682"</f>
        <v>202112067682</v>
      </c>
      <c r="F27" t="str">
        <f>"REIMBURSEMENT FOR BOND STICKER"</f>
        <v>REIMBURSEMENT FOR BOND STICKER</v>
      </c>
      <c r="G27" s="4">
        <v>75</v>
      </c>
      <c r="H27" t="str">
        <f>"REIMBURSEMENT FOR BOND STICKER"</f>
        <v>REIMBURSEMENT FOR BOND STICKER</v>
      </c>
    </row>
    <row r="28" spans="1:8" x14ac:dyDescent="0.25">
      <c r="A28" t="s">
        <v>11</v>
      </c>
      <c r="B28">
        <v>138160</v>
      </c>
      <c r="C28" s="4">
        <v>1729.31</v>
      </c>
      <c r="D28" s="1">
        <v>44543</v>
      </c>
      <c r="E28" t="str">
        <f>"4217868"</f>
        <v>4217868</v>
      </c>
      <c r="F28" t="str">
        <f>"CUST#M22786/ORD#2201823"</f>
        <v>CUST#M22786/ORD#2201823</v>
      </c>
      <c r="G28" s="4">
        <v>1729.31</v>
      </c>
      <c r="H28" t="str">
        <f>"CUST#M22786/ORD#2201823"</f>
        <v>CUST#M22786/ORD#2201823</v>
      </c>
    </row>
    <row r="29" spans="1:8" x14ac:dyDescent="0.25">
      <c r="A29" t="s">
        <v>12</v>
      </c>
      <c r="B29">
        <v>138161</v>
      </c>
      <c r="C29" s="4">
        <v>958.8</v>
      </c>
      <c r="D29" s="1">
        <v>44543</v>
      </c>
      <c r="E29" t="str">
        <f>"447640"</f>
        <v>447640</v>
      </c>
      <c r="F29" t="str">
        <f>"CUST#16500/PCT#4"</f>
        <v>CUST#16500/PCT#4</v>
      </c>
      <c r="G29" s="4">
        <v>886.6</v>
      </c>
      <c r="H29" t="str">
        <f>"CUST#16500/PCT#4"</f>
        <v>CUST#16500/PCT#4</v>
      </c>
    </row>
    <row r="30" spans="1:8" x14ac:dyDescent="0.25">
      <c r="E30" t="str">
        <f>"447640-1"</f>
        <v>447640-1</v>
      </c>
      <c r="F30" t="str">
        <f>"WILDFIRE MIT"</f>
        <v>WILDFIRE MIT</v>
      </c>
      <c r="G30" s="4">
        <v>72.2</v>
      </c>
      <c r="H30" t="str">
        <f>"WILDFIRE MIT"</f>
        <v>WILDFIRE MIT</v>
      </c>
    </row>
    <row r="31" spans="1:8" x14ac:dyDescent="0.25">
      <c r="A31" t="s">
        <v>13</v>
      </c>
      <c r="B31">
        <v>138162</v>
      </c>
      <c r="C31" s="4">
        <v>391.5</v>
      </c>
      <c r="D31" s="1">
        <v>44543</v>
      </c>
      <c r="E31" t="str">
        <f>"S141898"</f>
        <v>S141898</v>
      </c>
      <c r="F31" t="str">
        <f>"SUPPLIES PCT#1"</f>
        <v>SUPPLIES PCT#1</v>
      </c>
      <c r="G31" s="4">
        <v>391.5</v>
      </c>
      <c r="H31" t="str">
        <f>"SUPPLIES PCT#1"</f>
        <v>SUPPLIES PCT#1</v>
      </c>
    </row>
    <row r="32" spans="1:8" x14ac:dyDescent="0.25">
      <c r="A32" t="s">
        <v>14</v>
      </c>
      <c r="B32">
        <v>138163</v>
      </c>
      <c r="C32" s="4">
        <v>2478.75</v>
      </c>
      <c r="D32" s="1">
        <v>44543</v>
      </c>
      <c r="E32" t="str">
        <f>"202112027573"</f>
        <v>202112027573</v>
      </c>
      <c r="F32" t="str">
        <f>"20-20262"</f>
        <v>20-20262</v>
      </c>
      <c r="G32" s="4">
        <v>1260</v>
      </c>
      <c r="H32" t="str">
        <f>"20-20262"</f>
        <v>20-20262</v>
      </c>
    </row>
    <row r="33" spans="1:8" x14ac:dyDescent="0.25">
      <c r="E33" t="str">
        <f>"202112027574"</f>
        <v>202112027574</v>
      </c>
      <c r="F33" t="str">
        <f>"21-20742"</f>
        <v>21-20742</v>
      </c>
      <c r="G33" s="4">
        <v>312.5</v>
      </c>
      <c r="H33" t="str">
        <f>"21-20742"</f>
        <v>21-20742</v>
      </c>
    </row>
    <row r="34" spans="1:8" x14ac:dyDescent="0.25">
      <c r="E34" t="str">
        <f>"202112027575"</f>
        <v>202112027575</v>
      </c>
      <c r="F34" t="str">
        <f>"20-20321"</f>
        <v>20-20321</v>
      </c>
      <c r="G34" s="4">
        <v>62.5</v>
      </c>
      <c r="H34" t="str">
        <f>"20-20321"</f>
        <v>20-20321</v>
      </c>
    </row>
    <row r="35" spans="1:8" x14ac:dyDescent="0.25">
      <c r="E35" t="str">
        <f>"202112027576"</f>
        <v>202112027576</v>
      </c>
      <c r="F35" t="str">
        <f>"21-20845"</f>
        <v>21-20845</v>
      </c>
      <c r="G35" s="4">
        <v>31.25</v>
      </c>
      <c r="H35" t="str">
        <f>"21-20845"</f>
        <v>21-20845</v>
      </c>
    </row>
    <row r="36" spans="1:8" x14ac:dyDescent="0.25">
      <c r="E36" t="str">
        <f>"202112027577"</f>
        <v>202112027577</v>
      </c>
      <c r="F36" t="str">
        <f>"20-20454"</f>
        <v>20-20454</v>
      </c>
      <c r="G36" s="4">
        <v>93.75</v>
      </c>
      <c r="H36" t="str">
        <f>"20-20454"</f>
        <v>20-20454</v>
      </c>
    </row>
    <row r="37" spans="1:8" x14ac:dyDescent="0.25">
      <c r="E37" t="str">
        <f>"202112027578"</f>
        <v>202112027578</v>
      </c>
      <c r="F37" t="str">
        <f>"21-20724"</f>
        <v>21-20724</v>
      </c>
      <c r="G37" s="4">
        <v>187.5</v>
      </c>
      <c r="H37" t="str">
        <f>"21-20724"</f>
        <v>21-20724</v>
      </c>
    </row>
    <row r="38" spans="1:8" x14ac:dyDescent="0.25">
      <c r="E38" t="str">
        <f>"202112027579"</f>
        <v>202112027579</v>
      </c>
      <c r="F38" t="str">
        <f>"21-20594"</f>
        <v>21-20594</v>
      </c>
      <c r="G38" s="4">
        <v>62.5</v>
      </c>
      <c r="H38" t="str">
        <f>"21-20594"</f>
        <v>21-20594</v>
      </c>
    </row>
    <row r="39" spans="1:8" x14ac:dyDescent="0.25">
      <c r="E39" t="str">
        <f>"202112027580"</f>
        <v>202112027580</v>
      </c>
      <c r="F39" t="str">
        <f>"21-20542"</f>
        <v>21-20542</v>
      </c>
      <c r="G39" s="4">
        <v>375</v>
      </c>
      <c r="H39" t="str">
        <f>"21-20542"</f>
        <v>21-20542</v>
      </c>
    </row>
    <row r="40" spans="1:8" x14ac:dyDescent="0.25">
      <c r="E40" t="str">
        <f>"202112027581"</f>
        <v>202112027581</v>
      </c>
      <c r="F40" t="str">
        <f>"21-20702"</f>
        <v>21-20702</v>
      </c>
      <c r="G40" s="4">
        <v>31.25</v>
      </c>
      <c r="H40" t="str">
        <f>"21-20702"</f>
        <v>21-20702</v>
      </c>
    </row>
    <row r="41" spans="1:8" x14ac:dyDescent="0.25">
      <c r="E41" t="str">
        <f>"202112027582"</f>
        <v>202112027582</v>
      </c>
      <c r="F41" t="str">
        <f>"21-20905"</f>
        <v>21-20905</v>
      </c>
      <c r="G41" s="4">
        <v>62.5</v>
      </c>
      <c r="H41" t="str">
        <f>"21-20905"</f>
        <v>21-20905</v>
      </c>
    </row>
    <row r="42" spans="1:8" x14ac:dyDescent="0.25">
      <c r="A42" t="s">
        <v>15</v>
      </c>
      <c r="B42">
        <v>5490</v>
      </c>
      <c r="C42" s="4">
        <v>128.80000000000001</v>
      </c>
      <c r="D42" s="1">
        <v>44544</v>
      </c>
      <c r="E42" t="str">
        <f>"202112087708"</f>
        <v>202112087708</v>
      </c>
      <c r="F42" t="str">
        <f>"REIMBURSE MEMBERSHIP/POSTAGE"</f>
        <v>REIMBURSE MEMBERSHIP/POSTAGE</v>
      </c>
      <c r="G42" s="4">
        <v>128.80000000000001</v>
      </c>
      <c r="H42" t="str">
        <f>"REIMBURSE MEMBERSHIP/POSTAGE"</f>
        <v>REIMBURSE MEMBERSHIP/POSTAGE</v>
      </c>
    </row>
    <row r="43" spans="1:8" x14ac:dyDescent="0.25">
      <c r="A43" t="s">
        <v>16</v>
      </c>
      <c r="B43">
        <v>138164</v>
      </c>
      <c r="C43" s="4">
        <v>322.75</v>
      </c>
      <c r="D43" s="1">
        <v>44543</v>
      </c>
      <c r="E43" t="str">
        <f>"208023"</f>
        <v>208023</v>
      </c>
      <c r="F43" t="str">
        <f>"INV 208023"</f>
        <v>INV 208023</v>
      </c>
      <c r="G43" s="4">
        <v>322.75</v>
      </c>
      <c r="H43" t="str">
        <f>"INV 208023"</f>
        <v>INV 208023</v>
      </c>
    </row>
    <row r="44" spans="1:8" x14ac:dyDescent="0.25">
      <c r="A44" t="s">
        <v>17</v>
      </c>
      <c r="B44">
        <v>138363</v>
      </c>
      <c r="C44" s="4">
        <v>168.52</v>
      </c>
      <c r="D44" s="1">
        <v>44557</v>
      </c>
      <c r="E44" t="str">
        <f>"7842042"</f>
        <v>7842042</v>
      </c>
      <c r="F44" t="str">
        <f>"CUST #17295 / PCTS #3"</f>
        <v>CUST #17295 / PCTS #3</v>
      </c>
      <c r="G44" s="4">
        <v>168.52</v>
      </c>
      <c r="H44" t="str">
        <f>"CUST #17295 / PCTS #3"</f>
        <v>CUST #17295 / PCTS #3</v>
      </c>
    </row>
    <row r="45" spans="1:8" x14ac:dyDescent="0.25">
      <c r="A45" t="s">
        <v>18</v>
      </c>
      <c r="B45">
        <v>138165</v>
      </c>
      <c r="C45" s="4">
        <v>4309.9799999999996</v>
      </c>
      <c r="D45" s="1">
        <v>44543</v>
      </c>
      <c r="E45" t="str">
        <f>"70318"</f>
        <v>70318</v>
      </c>
      <c r="F45" t="str">
        <f>"PARTS &amp; LABOR PCT#3"</f>
        <v>PARTS &amp; LABOR PCT#3</v>
      </c>
      <c r="G45" s="4">
        <v>4309.9799999999996</v>
      </c>
      <c r="H45" t="str">
        <f>"PARTS &amp; LABOR PCT#3"</f>
        <v>PARTS &amp; LABOR PCT#3</v>
      </c>
    </row>
    <row r="46" spans="1:8" x14ac:dyDescent="0.25">
      <c r="A46" t="s">
        <v>19</v>
      </c>
      <c r="B46">
        <v>138166</v>
      </c>
      <c r="C46" s="4">
        <v>75</v>
      </c>
      <c r="D46" s="1">
        <v>44543</v>
      </c>
      <c r="E46" t="str">
        <f>"202111297452"</f>
        <v>202111297452</v>
      </c>
      <c r="F46" t="str">
        <f>"FERAL HOGS"</f>
        <v>FERAL HOGS</v>
      </c>
      <c r="G46" s="4">
        <v>75</v>
      </c>
      <c r="H46" t="str">
        <f>"FERAL HOGS"</f>
        <v>FERAL HOGS</v>
      </c>
    </row>
    <row r="47" spans="1:8" x14ac:dyDescent="0.25">
      <c r="A47" t="s">
        <v>20</v>
      </c>
      <c r="B47">
        <v>5531</v>
      </c>
      <c r="C47" s="4">
        <v>800</v>
      </c>
      <c r="D47" s="1">
        <v>44544</v>
      </c>
      <c r="E47" t="str">
        <f>"202111307473"</f>
        <v>202111307473</v>
      </c>
      <c r="F47" t="str">
        <f>"17 363"</f>
        <v>17 363</v>
      </c>
      <c r="G47" s="4">
        <v>400</v>
      </c>
      <c r="H47" t="str">
        <f>"17 363"</f>
        <v>17 363</v>
      </c>
    </row>
    <row r="48" spans="1:8" x14ac:dyDescent="0.25">
      <c r="E48" t="str">
        <f>"202111307474"</f>
        <v>202111307474</v>
      </c>
      <c r="F48" t="str">
        <f>"17 139"</f>
        <v>17 139</v>
      </c>
      <c r="G48" s="4">
        <v>400</v>
      </c>
      <c r="H48" t="str">
        <f>"17 139"</f>
        <v>17 139</v>
      </c>
    </row>
    <row r="49" spans="1:8" x14ac:dyDescent="0.25">
      <c r="A49" t="s">
        <v>20</v>
      </c>
      <c r="B49">
        <v>5591</v>
      </c>
      <c r="C49" s="4">
        <v>400</v>
      </c>
      <c r="D49" s="1">
        <v>44558</v>
      </c>
      <c r="E49" t="str">
        <f>"202112167826"</f>
        <v>202112167826</v>
      </c>
      <c r="F49" t="str">
        <f>"17-433"</f>
        <v>17-433</v>
      </c>
      <c r="G49" s="4">
        <v>400</v>
      </c>
      <c r="H49" t="str">
        <f>"17-433"</f>
        <v>17-433</v>
      </c>
    </row>
    <row r="50" spans="1:8" x14ac:dyDescent="0.25">
      <c r="A50" t="s">
        <v>21</v>
      </c>
      <c r="B50">
        <v>138364</v>
      </c>
      <c r="C50" s="4">
        <v>90</v>
      </c>
      <c r="D50" s="1">
        <v>44557</v>
      </c>
      <c r="E50" t="str">
        <f>"202112197890"</f>
        <v>202112197890</v>
      </c>
      <c r="F50" t="str">
        <f>"PER DIEM"</f>
        <v>PER DIEM</v>
      </c>
      <c r="G50" s="4">
        <v>90</v>
      </c>
      <c r="H50" t="str">
        <f>"PER DIEM"</f>
        <v>PER DIEM</v>
      </c>
    </row>
    <row r="51" spans="1:8" x14ac:dyDescent="0.25">
      <c r="A51" t="s">
        <v>22</v>
      </c>
      <c r="B51">
        <v>138365</v>
      </c>
      <c r="C51" s="4">
        <v>12500</v>
      </c>
      <c r="D51" s="1">
        <v>44557</v>
      </c>
      <c r="E51" t="str">
        <f>"6370"</f>
        <v>6370</v>
      </c>
      <c r="F51" t="str">
        <f>"BASTROP CO-2020 REDISTRICTING"</f>
        <v>BASTROP CO-2020 REDISTRICTING</v>
      </c>
      <c r="G51" s="4">
        <v>12500</v>
      </c>
      <c r="H51" t="str">
        <f>"BASTROP CO-2020 REDISTRICTING"</f>
        <v>BASTROP CO-2020 REDISTRICTING</v>
      </c>
    </row>
    <row r="52" spans="1:8" x14ac:dyDescent="0.25">
      <c r="A52" t="s">
        <v>23</v>
      </c>
      <c r="B52">
        <v>138167</v>
      </c>
      <c r="C52" s="4">
        <v>180</v>
      </c>
      <c r="D52" s="1">
        <v>44543</v>
      </c>
      <c r="E52" t="s">
        <v>24</v>
      </c>
      <c r="F52" s="4" t="str">
        <f>"OVERPAYMENT OF RESTITUTION"</f>
        <v>OVERPAYMENT OF RESTITUTION</v>
      </c>
      <c r="G52" s="4">
        <v>180</v>
      </c>
      <c r="H52" t="str">
        <f>"OVERPAYMENT OF RESTITUTION"</f>
        <v>OVERPAYMENT OF RESTITUTION</v>
      </c>
    </row>
    <row r="53" spans="1:8" x14ac:dyDescent="0.25">
      <c r="A53" t="s">
        <v>25</v>
      </c>
      <c r="B53">
        <v>5503</v>
      </c>
      <c r="C53" s="4">
        <v>5750.91</v>
      </c>
      <c r="D53" s="1">
        <v>44544</v>
      </c>
      <c r="E53" t="str">
        <f>"1CFM-VJL1-LRDR"</f>
        <v>1CFM-VJL1-LRDR</v>
      </c>
      <c r="F53" t="str">
        <f>"Amazon order pallet paper"</f>
        <v>Amazon order pallet paper</v>
      </c>
      <c r="G53" s="4">
        <v>1329</v>
      </c>
      <c r="H53" t="str">
        <f>"Amazon order pallet paper"</f>
        <v>Amazon order pallet paper</v>
      </c>
    </row>
    <row r="54" spans="1:8" x14ac:dyDescent="0.25">
      <c r="E54" t="str">
        <f>""</f>
        <v/>
      </c>
      <c r="F54" t="str">
        <f>""</f>
        <v/>
      </c>
      <c r="G54" s="4">
        <v>1329</v>
      </c>
      <c r="H54" t="str">
        <f>"Amazon order pallet paper"</f>
        <v>Amazon order pallet paper</v>
      </c>
    </row>
    <row r="55" spans="1:8" x14ac:dyDescent="0.25">
      <c r="E55" t="str">
        <f>"1F9X-7F9T-3TKL"</f>
        <v>1F9X-7F9T-3TKL</v>
      </c>
      <c r="F55" t="str">
        <f>"AMAZON CAPITAL SERVICES INC"</f>
        <v>AMAZON CAPITAL SERVICES INC</v>
      </c>
      <c r="G55" s="4">
        <v>57.79</v>
      </c>
      <c r="H55" t="str">
        <f>"Fish Eye Mirror"</f>
        <v>Fish Eye Mirror</v>
      </c>
    </row>
    <row r="56" spans="1:8" x14ac:dyDescent="0.25">
      <c r="E56" t="str">
        <f>"1GRD-X6M4-9MC1"</f>
        <v>1GRD-X6M4-9MC1</v>
      </c>
      <c r="F56" t="str">
        <f>"AMAZON ORDER SO"</f>
        <v>AMAZON ORDER SO</v>
      </c>
      <c r="G56" s="4">
        <v>169.9</v>
      </c>
      <c r="H56" t="str">
        <f>"SD CARD READER"</f>
        <v>SD CARD READER</v>
      </c>
    </row>
    <row r="57" spans="1:8" x14ac:dyDescent="0.25">
      <c r="E57" t="str">
        <f>""</f>
        <v/>
      </c>
      <c r="F57" t="str">
        <f>""</f>
        <v/>
      </c>
      <c r="G57" s="4">
        <v>9.89</v>
      </c>
      <c r="H57" t="str">
        <f>"GRIP SCISSORS"</f>
        <v>GRIP SCISSORS</v>
      </c>
    </row>
    <row r="58" spans="1:8" x14ac:dyDescent="0.25">
      <c r="E58" t="str">
        <f>""</f>
        <v/>
      </c>
      <c r="F58" t="str">
        <f>""</f>
        <v/>
      </c>
      <c r="G58" s="4">
        <v>179.89</v>
      </c>
      <c r="H58" t="str">
        <f>"COMHOMA OFFICE CHAIR"</f>
        <v>COMHOMA OFFICE CHAIR</v>
      </c>
    </row>
    <row r="59" spans="1:8" x14ac:dyDescent="0.25">
      <c r="E59" t="str">
        <f>""</f>
        <v/>
      </c>
      <c r="F59" t="str">
        <f>""</f>
        <v/>
      </c>
      <c r="G59" s="4">
        <v>149.97999999999999</v>
      </c>
      <c r="H59" t="str">
        <f>"TASK CHAIR"</f>
        <v>TASK CHAIR</v>
      </c>
    </row>
    <row r="60" spans="1:8" x14ac:dyDescent="0.25">
      <c r="E60" t="str">
        <f>""</f>
        <v/>
      </c>
      <c r="F60" t="str">
        <f>""</f>
        <v/>
      </c>
      <c r="G60" s="4">
        <v>99.9</v>
      </c>
      <c r="H60" t="str">
        <f>"LOGITECH MK270 WIREL"</f>
        <v>LOGITECH MK270 WIREL</v>
      </c>
    </row>
    <row r="61" spans="1:8" x14ac:dyDescent="0.25">
      <c r="E61" t="str">
        <f>""</f>
        <v/>
      </c>
      <c r="F61" t="str">
        <f>""</f>
        <v/>
      </c>
      <c r="G61" s="4">
        <v>77.05</v>
      </c>
      <c r="H61" t="str">
        <f>"POWER STRIP BELKIN S"</f>
        <v>POWER STRIP BELKIN S</v>
      </c>
    </row>
    <row r="62" spans="1:8" x14ac:dyDescent="0.25">
      <c r="E62" t="str">
        <f>"1HR1-RGTV-T4XR"</f>
        <v>1HR1-RGTV-T4XR</v>
      </c>
      <c r="F62" t="str">
        <f>"Amazon PO hose nozzle"</f>
        <v>Amazon PO hose nozzle</v>
      </c>
      <c r="G62" s="4">
        <v>59.95</v>
      </c>
      <c r="H62" t="str">
        <f>"2 Pack hose nozzles"</f>
        <v>2 Pack hose nozzles</v>
      </c>
    </row>
    <row r="63" spans="1:8" x14ac:dyDescent="0.25">
      <c r="E63" t="str">
        <f>"1J4M-4YVY-9L7Q"</f>
        <v>1J4M-4YVY-9L7Q</v>
      </c>
      <c r="F63" t="str">
        <f>"Amazon Order SO"</f>
        <v>Amazon Order SO</v>
      </c>
      <c r="G63" s="4">
        <v>377.93</v>
      </c>
      <c r="H63" t="str">
        <f>"decible meter/sound"</f>
        <v>decible meter/sound</v>
      </c>
    </row>
    <row r="64" spans="1:8" x14ac:dyDescent="0.25">
      <c r="E64" t="str">
        <f>""</f>
        <v/>
      </c>
      <c r="F64" t="str">
        <f>""</f>
        <v/>
      </c>
      <c r="G64" s="4">
        <v>679</v>
      </c>
      <c r="H64" t="str">
        <f>"enforcer tint meter"</f>
        <v>enforcer tint meter</v>
      </c>
    </row>
    <row r="65" spans="1:8" x14ac:dyDescent="0.25">
      <c r="E65" t="str">
        <f>""</f>
        <v/>
      </c>
      <c r="F65" t="str">
        <f>""</f>
        <v/>
      </c>
      <c r="G65" s="4">
        <v>41.88</v>
      </c>
      <c r="H65" t="str">
        <f>"Loctite Rust Dissolv"</f>
        <v>Loctite Rust Dissolv</v>
      </c>
    </row>
    <row r="66" spans="1:8" x14ac:dyDescent="0.25">
      <c r="E66" t="str">
        <f>"1L9D-Y73V-CLKN"</f>
        <v>1L9D-Y73V-CLKN</v>
      </c>
      <c r="F66" t="str">
        <f>"Amazon Items for SO"</f>
        <v>Amazon Items for SO</v>
      </c>
      <c r="G66" s="4">
        <v>860.18</v>
      </c>
      <c r="H66" t="str">
        <f>"Amazon Items for SO"</f>
        <v>Amazon Items for SO</v>
      </c>
    </row>
    <row r="67" spans="1:8" x14ac:dyDescent="0.25">
      <c r="E67" t="str">
        <f>"1RVQ-DVWH-NR9R"</f>
        <v>1RVQ-DVWH-NR9R</v>
      </c>
      <c r="F67" t="str">
        <f>"Amazon"</f>
        <v>Amazon</v>
      </c>
      <c r="G67" s="4">
        <v>6.99</v>
      </c>
      <c r="H67" t="str">
        <f>"Lock w/ keys"</f>
        <v>Lock w/ keys</v>
      </c>
    </row>
    <row r="68" spans="1:8" x14ac:dyDescent="0.25">
      <c r="E68" t="str">
        <f>"1RXH-1VFW-3MTD"</f>
        <v>1RXH-1VFW-3MTD</v>
      </c>
      <c r="F68" t="str">
        <f>"Amazon SO"</f>
        <v>Amazon SO</v>
      </c>
      <c r="G68" s="4">
        <v>21.95</v>
      </c>
      <c r="H68" t="str">
        <f>"Scan Disks 64GB"</f>
        <v>Scan Disks 64GB</v>
      </c>
    </row>
    <row r="69" spans="1:8" x14ac:dyDescent="0.25">
      <c r="E69" t="str">
        <f>""</f>
        <v/>
      </c>
      <c r="F69" t="str">
        <f>""</f>
        <v/>
      </c>
      <c r="G69" s="4">
        <v>22.99</v>
      </c>
      <c r="H69" t="str">
        <f>"Calibration Weight"</f>
        <v>Calibration Weight</v>
      </c>
    </row>
    <row r="70" spans="1:8" x14ac:dyDescent="0.25">
      <c r="E70" t="str">
        <f>"1WLJ-LDWR-CHD4"</f>
        <v>1WLJ-LDWR-CHD4</v>
      </c>
      <c r="F70" t="str">
        <f>"AMAZON CAPITAL SERVICES INC"</f>
        <v>AMAZON CAPITAL SERVICES INC</v>
      </c>
      <c r="G70" s="4">
        <v>21.9</v>
      </c>
      <c r="H70" t="str">
        <f>"Freshmatic Spray"</f>
        <v>Freshmatic Spray</v>
      </c>
    </row>
    <row r="71" spans="1:8" x14ac:dyDescent="0.25">
      <c r="E71" t="str">
        <f>""</f>
        <v/>
      </c>
      <c r="F71" t="str">
        <f>""</f>
        <v/>
      </c>
      <c r="G71" s="4">
        <v>149.76</v>
      </c>
      <c r="H71" t="str">
        <f>"Lysol Wipes"</f>
        <v>Lysol Wipes</v>
      </c>
    </row>
    <row r="72" spans="1:8" x14ac:dyDescent="0.25">
      <c r="E72" t="str">
        <f>""</f>
        <v/>
      </c>
      <c r="F72" t="str">
        <f>""</f>
        <v/>
      </c>
      <c r="G72" s="4">
        <v>5.99</v>
      </c>
      <c r="H72" t="str">
        <f>"Shipping"</f>
        <v>Shipping</v>
      </c>
    </row>
    <row r="73" spans="1:8" x14ac:dyDescent="0.25">
      <c r="E73" t="str">
        <f>"202112027572"</f>
        <v>202112027572</v>
      </c>
      <c r="F73" t="str">
        <f>"Amazon Red Big Clock"</f>
        <v>Amazon Red Big Clock</v>
      </c>
      <c r="G73" s="4">
        <v>99.99</v>
      </c>
      <c r="H73" t="str">
        <f>"amazon red clock"</f>
        <v>amazon red clock</v>
      </c>
    </row>
    <row r="74" spans="1:8" x14ac:dyDescent="0.25">
      <c r="A74" t="s">
        <v>25</v>
      </c>
      <c r="B74">
        <v>5578</v>
      </c>
      <c r="C74" s="4">
        <v>210.14</v>
      </c>
      <c r="D74" s="1">
        <v>44558</v>
      </c>
      <c r="E74" t="str">
        <f>"202112197903"</f>
        <v>202112197903</v>
      </c>
      <c r="F74" t="str">
        <f>"BATTERY BACKUP AMAZON"</f>
        <v>BATTERY BACKUP AMAZON</v>
      </c>
      <c r="G74" s="4">
        <v>63.08</v>
      </c>
      <c r="H74" t="str">
        <f>"BATTERY BACKUP AMAZON"</f>
        <v>BATTERY BACKUP AMAZON</v>
      </c>
    </row>
    <row r="75" spans="1:8" x14ac:dyDescent="0.25">
      <c r="E75" t="str">
        <f>"202112197905"</f>
        <v>202112197905</v>
      </c>
      <c r="F75" t="str">
        <f>"AMAZON CAPITAL SERVICES INC"</f>
        <v>AMAZON CAPITAL SERVICES INC</v>
      </c>
      <c r="G75" s="4">
        <v>63.08</v>
      </c>
      <c r="H75" t="str">
        <f>"APC UPS Backup"</f>
        <v>APC UPS Backup</v>
      </c>
    </row>
    <row r="76" spans="1:8" x14ac:dyDescent="0.25">
      <c r="E76" t="str">
        <f>"202112197909"</f>
        <v>202112197909</v>
      </c>
      <c r="F76" t="str">
        <f>"Battery Back Up Amazon"</f>
        <v>Battery Back Up Amazon</v>
      </c>
      <c r="G76" s="4">
        <v>63.08</v>
      </c>
      <c r="H76" t="str">
        <f>"Battery Back Up Amazon"</f>
        <v>Battery Back Up Amazon</v>
      </c>
    </row>
    <row r="77" spans="1:8" x14ac:dyDescent="0.25">
      <c r="E77" t="str">
        <f>"202112197910"</f>
        <v>202112197910</v>
      </c>
      <c r="F77" t="str">
        <f>"Amazon"</f>
        <v>Amazon</v>
      </c>
      <c r="G77" s="4">
        <v>20.9</v>
      </c>
      <c r="H77" t="str">
        <f>"Trip Lite USB"</f>
        <v>Trip Lite USB</v>
      </c>
    </row>
    <row r="78" spans="1:8" x14ac:dyDescent="0.25">
      <c r="A78" t="s">
        <v>26</v>
      </c>
      <c r="B78">
        <v>138366</v>
      </c>
      <c r="C78" s="4">
        <v>53.62</v>
      </c>
      <c r="D78" s="1">
        <v>44557</v>
      </c>
      <c r="E78" t="str">
        <f>"5438073"</f>
        <v>5438073</v>
      </c>
      <c r="F78" t="str">
        <f>"ORDER #1564722 / PCT #3"</f>
        <v>ORDER #1564722 / PCT #3</v>
      </c>
      <c r="G78" s="4">
        <v>53.62</v>
      </c>
      <c r="H78" t="str">
        <f>"ORDER #1564722 / PCT #3"</f>
        <v>ORDER #1564722 / PCT #3</v>
      </c>
    </row>
    <row r="79" spans="1:8" x14ac:dyDescent="0.25">
      <c r="A79" t="s">
        <v>27</v>
      </c>
      <c r="B79">
        <v>138168</v>
      </c>
      <c r="C79" s="4">
        <v>820.18</v>
      </c>
      <c r="D79" s="1">
        <v>44543</v>
      </c>
      <c r="E79" t="str">
        <f>"3074593238"</f>
        <v>3074593238</v>
      </c>
      <c r="F79" t="str">
        <f>"INV 3074593238"</f>
        <v>INV 3074593238</v>
      </c>
      <c r="G79" s="4">
        <v>808.9</v>
      </c>
      <c r="H79" t="str">
        <f>"INV 3074593238"</f>
        <v>INV 3074593238</v>
      </c>
    </row>
    <row r="80" spans="1:8" x14ac:dyDescent="0.25">
      <c r="E80" t="str">
        <f>""</f>
        <v/>
      </c>
      <c r="F80" t="str">
        <f>""</f>
        <v/>
      </c>
      <c r="G80" s="4">
        <v>11.28</v>
      </c>
      <c r="H80" t="str">
        <f>"INV 3074593237"</f>
        <v>INV 3074593237</v>
      </c>
    </row>
    <row r="81" spans="1:8" x14ac:dyDescent="0.25">
      <c r="A81" t="s">
        <v>28</v>
      </c>
      <c r="B81">
        <v>138169</v>
      </c>
      <c r="C81" s="4">
        <v>36.979999999999997</v>
      </c>
      <c r="D81" s="1">
        <v>44543</v>
      </c>
      <c r="E81" t="str">
        <f>"114792"</f>
        <v>114792</v>
      </c>
      <c r="F81" t="str">
        <f>"#9 REGULARS/SHIPPING/ELECTIONS"</f>
        <v>#9 REGULARS/SHIPPING/ELECTIONS</v>
      </c>
      <c r="G81" s="4">
        <v>36.979999999999997</v>
      </c>
      <c r="H81" t="str">
        <f>"#9 REGULARS/SHIPPING/ELECTIONS"</f>
        <v>#9 REGULARS/SHIPPING/ELECTIONS</v>
      </c>
    </row>
    <row r="82" spans="1:8" x14ac:dyDescent="0.25">
      <c r="A82" t="s">
        <v>28</v>
      </c>
      <c r="B82">
        <v>138504</v>
      </c>
      <c r="C82" s="4">
        <v>15206.98</v>
      </c>
      <c r="D82" s="1">
        <v>44557</v>
      </c>
      <c r="E82" t="str">
        <f>"POSTAGE 12/27/21"</f>
        <v>POSTAGE 12/27/21</v>
      </c>
      <c r="F82" t="str">
        <f>"POSTAGE - MM POSTAGE"</f>
        <v>POSTAGE - MM POSTAGE</v>
      </c>
      <c r="G82" s="4">
        <v>15206.98</v>
      </c>
      <c r="H82" t="str">
        <f>"POSTAGE - MM POSTAGE"</f>
        <v>POSTAGE - MM POSTAGE</v>
      </c>
    </row>
    <row r="83" spans="1:8" x14ac:dyDescent="0.25">
      <c r="A83" t="s">
        <v>29</v>
      </c>
      <c r="B83">
        <v>5548</v>
      </c>
      <c r="C83" s="4">
        <v>1650</v>
      </c>
      <c r="D83" s="1">
        <v>44544</v>
      </c>
      <c r="E83" t="str">
        <f>"202111307475"</f>
        <v>202111307475</v>
      </c>
      <c r="F83" t="str">
        <f>"17 026 16 729 17 431"</f>
        <v>17 026 16 729 17 431</v>
      </c>
      <c r="G83" s="4">
        <v>800</v>
      </c>
      <c r="H83" t="str">
        <f>"17 026 16 729 17 431"</f>
        <v>17 026 16 729 17 431</v>
      </c>
    </row>
    <row r="84" spans="1:8" x14ac:dyDescent="0.25">
      <c r="E84" t="str">
        <f>"202111307476"</f>
        <v>202111307476</v>
      </c>
      <c r="F84" t="str">
        <f>"16 862"</f>
        <v>16 862</v>
      </c>
      <c r="G84" s="4">
        <v>400</v>
      </c>
      <c r="H84" t="str">
        <f>"16 862"</f>
        <v>16 862</v>
      </c>
    </row>
    <row r="85" spans="1:8" x14ac:dyDescent="0.25">
      <c r="E85" t="str">
        <f>"202111307477"</f>
        <v>202111307477</v>
      </c>
      <c r="F85" t="str">
        <f>"4061121-10"</f>
        <v>4061121-10</v>
      </c>
      <c r="G85" s="4">
        <v>200</v>
      </c>
      <c r="H85" t="str">
        <f>"4061121-10"</f>
        <v>4061121-10</v>
      </c>
    </row>
    <row r="86" spans="1:8" x14ac:dyDescent="0.25">
      <c r="E86" t="str">
        <f>"202111307484"</f>
        <v>202111307484</v>
      </c>
      <c r="F86" t="str">
        <f>"57 550"</f>
        <v>57 550</v>
      </c>
      <c r="G86" s="4">
        <v>250</v>
      </c>
      <c r="H86" t="str">
        <f>"57 550"</f>
        <v>57 550</v>
      </c>
    </row>
    <row r="87" spans="1:8" x14ac:dyDescent="0.25">
      <c r="A87" t="s">
        <v>29</v>
      </c>
      <c r="B87">
        <v>5601</v>
      </c>
      <c r="C87" s="4">
        <v>10392.5</v>
      </c>
      <c r="D87" s="1">
        <v>44558</v>
      </c>
      <c r="E87" t="str">
        <f>"202112167796"</f>
        <v>202112167796</v>
      </c>
      <c r="F87" t="str">
        <f>"20-20293"</f>
        <v>20-20293</v>
      </c>
      <c r="G87" s="4">
        <v>108.75</v>
      </c>
      <c r="H87" t="str">
        <f>"20-20293"</f>
        <v>20-20293</v>
      </c>
    </row>
    <row r="88" spans="1:8" x14ac:dyDescent="0.25">
      <c r="E88" t="str">
        <f>"202112167797"</f>
        <v>202112167797</v>
      </c>
      <c r="F88" t="str">
        <f>"20-20403"</f>
        <v>20-20403</v>
      </c>
      <c r="G88" s="4">
        <v>187.5</v>
      </c>
      <c r="H88" t="str">
        <f>"20-20403"</f>
        <v>20-20403</v>
      </c>
    </row>
    <row r="89" spans="1:8" x14ac:dyDescent="0.25">
      <c r="E89" t="str">
        <f>"202112167798"</f>
        <v>202112167798</v>
      </c>
      <c r="F89" t="str">
        <f>"21-21020"</f>
        <v>21-21020</v>
      </c>
      <c r="G89" s="4">
        <v>306.25</v>
      </c>
      <c r="H89" t="str">
        <f>"21-21020"</f>
        <v>21-21020</v>
      </c>
    </row>
    <row r="90" spans="1:8" x14ac:dyDescent="0.25">
      <c r="E90" t="str">
        <f>"202112167799"</f>
        <v>202112167799</v>
      </c>
      <c r="F90" t="str">
        <f>"4061321-1"</f>
        <v>4061321-1</v>
      </c>
      <c r="G90" s="4">
        <v>250</v>
      </c>
      <c r="H90" t="str">
        <f>"4061321-1"</f>
        <v>4061321-1</v>
      </c>
    </row>
    <row r="91" spans="1:8" x14ac:dyDescent="0.25">
      <c r="E91" t="str">
        <f>"202112167803"</f>
        <v>202112167803</v>
      </c>
      <c r="F91" t="str">
        <f>"19-19870"</f>
        <v>19-19870</v>
      </c>
      <c r="G91" s="4">
        <v>335</v>
      </c>
      <c r="H91" t="str">
        <f>"19-19870"</f>
        <v>19-19870</v>
      </c>
    </row>
    <row r="92" spans="1:8" x14ac:dyDescent="0.25">
      <c r="E92" t="str">
        <f>"202112167804"</f>
        <v>202112167804</v>
      </c>
      <c r="F92" t="str">
        <f>"20-20179"</f>
        <v>20-20179</v>
      </c>
      <c r="G92" s="4">
        <v>312.5</v>
      </c>
      <c r="H92" t="str">
        <f>"20-20179"</f>
        <v>20-20179</v>
      </c>
    </row>
    <row r="93" spans="1:8" x14ac:dyDescent="0.25">
      <c r="E93" t="str">
        <f>"202112167805"</f>
        <v>202112167805</v>
      </c>
      <c r="F93" t="str">
        <f>"21-20562"</f>
        <v>21-20562</v>
      </c>
      <c r="G93" s="4">
        <v>223.75</v>
      </c>
      <c r="H93" t="str">
        <f>"21-20562"</f>
        <v>21-20562</v>
      </c>
    </row>
    <row r="94" spans="1:8" x14ac:dyDescent="0.25">
      <c r="E94" t="str">
        <f>"202112167806"</f>
        <v>202112167806</v>
      </c>
      <c r="F94" t="str">
        <f>"20-20372"</f>
        <v>20-20372</v>
      </c>
      <c r="G94" s="4">
        <v>781.25</v>
      </c>
      <c r="H94" t="str">
        <f>"20-20372"</f>
        <v>20-20372</v>
      </c>
    </row>
    <row r="95" spans="1:8" x14ac:dyDescent="0.25">
      <c r="E95" t="str">
        <f>"202112167807"</f>
        <v>202112167807</v>
      </c>
      <c r="F95" t="str">
        <f>"20-20030"</f>
        <v>20-20030</v>
      </c>
      <c r="G95" s="4">
        <v>2202.5</v>
      </c>
      <c r="H95" t="str">
        <f>"20-20030"</f>
        <v>20-20030</v>
      </c>
    </row>
    <row r="96" spans="1:8" x14ac:dyDescent="0.25">
      <c r="E96" t="str">
        <f>"202112167808"</f>
        <v>202112167808</v>
      </c>
      <c r="F96" t="str">
        <f>"20-20056"</f>
        <v>20-20056</v>
      </c>
      <c r="G96" s="4">
        <v>1796.25</v>
      </c>
      <c r="H96" t="str">
        <f>"20-20056"</f>
        <v>20-20056</v>
      </c>
    </row>
    <row r="97" spans="1:8" x14ac:dyDescent="0.25">
      <c r="E97" t="str">
        <f>"202112167810"</f>
        <v>202112167810</v>
      </c>
      <c r="F97" t="str">
        <f>"423-7986"</f>
        <v>423-7986</v>
      </c>
      <c r="G97" s="4">
        <v>1298.75</v>
      </c>
      <c r="H97" t="str">
        <f>"423-7986"</f>
        <v>423-7986</v>
      </c>
    </row>
    <row r="98" spans="1:8" x14ac:dyDescent="0.25">
      <c r="E98" t="str">
        <f>"202112167811"</f>
        <v>202112167811</v>
      </c>
      <c r="F98" t="str">
        <f>"1914-335/1910-21"</f>
        <v>1914-335/1910-21</v>
      </c>
      <c r="G98" s="4">
        <v>200</v>
      </c>
      <c r="H98" t="str">
        <f>"1914-335/1910-21"</f>
        <v>1914-335/1910-21</v>
      </c>
    </row>
    <row r="99" spans="1:8" x14ac:dyDescent="0.25">
      <c r="E99" t="str">
        <f>"202112167812"</f>
        <v>202112167812</v>
      </c>
      <c r="F99" t="str">
        <f>"423-8082"</f>
        <v>423-8082</v>
      </c>
      <c r="G99" s="4">
        <v>100</v>
      </c>
      <c r="H99" t="str">
        <f>"423-8082"</f>
        <v>423-8082</v>
      </c>
    </row>
    <row r="100" spans="1:8" x14ac:dyDescent="0.25">
      <c r="E100" t="str">
        <f>"202112167813"</f>
        <v>202112167813</v>
      </c>
      <c r="F100" t="str">
        <f>"1934-21"</f>
        <v>1934-21</v>
      </c>
      <c r="G100" s="4">
        <v>100</v>
      </c>
      <c r="H100" t="str">
        <f>"1934-21"</f>
        <v>1934-21</v>
      </c>
    </row>
    <row r="101" spans="1:8" x14ac:dyDescent="0.25">
      <c r="E101" t="str">
        <f>"202112167814"</f>
        <v>202112167814</v>
      </c>
      <c r="F101" t="str">
        <f>"1923-21"</f>
        <v>1923-21</v>
      </c>
      <c r="G101" s="4">
        <v>100</v>
      </c>
      <c r="H101" t="str">
        <f>"1923-21"</f>
        <v>1923-21</v>
      </c>
    </row>
    <row r="102" spans="1:8" x14ac:dyDescent="0.25">
      <c r="E102" t="str">
        <f>"202112167815"</f>
        <v>202112167815</v>
      </c>
      <c r="F102" t="str">
        <f>"1902-21"</f>
        <v>1902-21</v>
      </c>
      <c r="G102" s="4">
        <v>200</v>
      </c>
      <c r="H102" t="str">
        <f>"1902-21"</f>
        <v>1902-21</v>
      </c>
    </row>
    <row r="103" spans="1:8" x14ac:dyDescent="0.25">
      <c r="E103" t="str">
        <f>"202112167816"</f>
        <v>202112167816</v>
      </c>
      <c r="F103" t="str">
        <f>"423-2327"</f>
        <v>423-2327</v>
      </c>
      <c r="G103" s="4">
        <v>490</v>
      </c>
      <c r="H103" t="str">
        <f>"423-2327"</f>
        <v>423-2327</v>
      </c>
    </row>
    <row r="104" spans="1:8" x14ac:dyDescent="0.25">
      <c r="E104" t="str">
        <f>"202112167831"</f>
        <v>202112167831</v>
      </c>
      <c r="F104" t="str">
        <f>"19217-335"</f>
        <v>19217-335</v>
      </c>
      <c r="G104" s="4">
        <v>100</v>
      </c>
      <c r="H104" t="str">
        <f>"19217-335"</f>
        <v>19217-335</v>
      </c>
    </row>
    <row r="105" spans="1:8" x14ac:dyDescent="0.25">
      <c r="E105" t="str">
        <f>"202112167832"</f>
        <v>202112167832</v>
      </c>
      <c r="F105" t="str">
        <f>"1879-335"</f>
        <v>1879-335</v>
      </c>
      <c r="G105" s="4">
        <v>200</v>
      </c>
      <c r="H105" t="str">
        <f>"1879-335"</f>
        <v>1879-335</v>
      </c>
    </row>
    <row r="106" spans="1:8" x14ac:dyDescent="0.25">
      <c r="E106" t="str">
        <f>"202112167833"</f>
        <v>202112167833</v>
      </c>
      <c r="F106" t="str">
        <f>"1901-335"</f>
        <v>1901-335</v>
      </c>
      <c r="G106" s="4">
        <v>200</v>
      </c>
      <c r="H106" t="str">
        <f>"1901-335"</f>
        <v>1901-335</v>
      </c>
    </row>
    <row r="107" spans="1:8" x14ac:dyDescent="0.25">
      <c r="E107" t="str">
        <f>"202112167834"</f>
        <v>202112167834</v>
      </c>
      <c r="F107" t="str">
        <f>"1863-335"</f>
        <v>1863-335</v>
      </c>
      <c r="G107" s="4">
        <v>100</v>
      </c>
      <c r="H107" t="str">
        <f>"1863-335"</f>
        <v>1863-335</v>
      </c>
    </row>
    <row r="108" spans="1:8" x14ac:dyDescent="0.25">
      <c r="E108" t="str">
        <f>"202112167844"</f>
        <v>202112167844</v>
      </c>
      <c r="F108" t="str">
        <f>"21-20850"</f>
        <v>21-20850</v>
      </c>
      <c r="G108" s="4">
        <v>100</v>
      </c>
      <c r="H108" t="str">
        <f>"21-20850"</f>
        <v>21-20850</v>
      </c>
    </row>
    <row r="109" spans="1:8" x14ac:dyDescent="0.25">
      <c r="E109" t="str">
        <f>"202112167845"</f>
        <v>202112167845</v>
      </c>
      <c r="F109" t="str">
        <f>"21-21034/21-21035"</f>
        <v>21-21034/21-21035</v>
      </c>
      <c r="G109" s="4">
        <v>200</v>
      </c>
      <c r="H109" t="str">
        <f>"21-21034/21-21035"</f>
        <v>21-21034/21-21035</v>
      </c>
    </row>
    <row r="110" spans="1:8" x14ac:dyDescent="0.25">
      <c r="E110" t="str">
        <f>"202112167846"</f>
        <v>202112167846</v>
      </c>
      <c r="F110" t="str">
        <f>"AC-20211060"</f>
        <v>AC-20211060</v>
      </c>
      <c r="G110" s="4">
        <v>250</v>
      </c>
      <c r="H110" t="str">
        <f>"AC-20211060"</f>
        <v>AC-20211060</v>
      </c>
    </row>
    <row r="111" spans="1:8" x14ac:dyDescent="0.25">
      <c r="E111" t="str">
        <f>"202112167847"</f>
        <v>202112167847</v>
      </c>
      <c r="F111" t="str">
        <f>"57-875"</f>
        <v>57-875</v>
      </c>
      <c r="G111" s="4">
        <v>250</v>
      </c>
      <c r="H111" t="str">
        <f>"57-875"</f>
        <v>57-875</v>
      </c>
    </row>
    <row r="112" spans="1:8" x14ac:dyDescent="0.25">
      <c r="A112" t="s">
        <v>30</v>
      </c>
      <c r="B112">
        <v>138170</v>
      </c>
      <c r="C112" s="4">
        <v>1111.23</v>
      </c>
      <c r="D112" s="1">
        <v>44543</v>
      </c>
      <c r="E112" t="str">
        <f>"32F037863"</f>
        <v>32F037863</v>
      </c>
      <c r="F112" t="str">
        <f>"Panduit Cat 6 Cables"</f>
        <v>Panduit Cat 6 Cables</v>
      </c>
      <c r="G112" s="4">
        <v>326.55</v>
      </c>
      <c r="H112" t="str">
        <f>"MM15-PA7P-06"</f>
        <v>MM15-PA7P-06</v>
      </c>
    </row>
    <row r="113" spans="1:8" x14ac:dyDescent="0.25">
      <c r="E113" t="str">
        <f>""</f>
        <v/>
      </c>
      <c r="F113" t="str">
        <f>""</f>
        <v/>
      </c>
      <c r="G113" s="4">
        <v>244.4</v>
      </c>
      <c r="H113" t="str">
        <f>"MM07-P47P-06"</f>
        <v>MM07-P47P-06</v>
      </c>
    </row>
    <row r="114" spans="1:8" x14ac:dyDescent="0.25">
      <c r="E114" t="str">
        <f>""</f>
        <v/>
      </c>
      <c r="F114" t="str">
        <f>""</f>
        <v/>
      </c>
      <c r="G114" s="4">
        <v>271.39999999999998</v>
      </c>
      <c r="H114" t="str">
        <f>"MM10-P47P-01"</f>
        <v>MM10-P47P-01</v>
      </c>
    </row>
    <row r="115" spans="1:8" x14ac:dyDescent="0.25">
      <c r="E115" t="str">
        <f>""</f>
        <v/>
      </c>
      <c r="F115" t="str">
        <f>""</f>
        <v/>
      </c>
      <c r="G115" s="4">
        <v>190.3</v>
      </c>
      <c r="H115" t="str">
        <f>"MM20-PA7P-06"</f>
        <v>MM20-PA7P-06</v>
      </c>
    </row>
    <row r="116" spans="1:8" x14ac:dyDescent="0.25">
      <c r="E116" t="str">
        <f>""</f>
        <v/>
      </c>
      <c r="F116" t="str">
        <f>""</f>
        <v/>
      </c>
      <c r="G116" s="4">
        <v>78.58</v>
      </c>
      <c r="H116" t="str">
        <f>"FREIGHT COST"</f>
        <v>FREIGHT COST</v>
      </c>
    </row>
    <row r="117" spans="1:8" x14ac:dyDescent="0.25">
      <c r="A117" t="s">
        <v>31</v>
      </c>
      <c r="B117">
        <v>138171</v>
      </c>
      <c r="C117" s="4">
        <v>322.87</v>
      </c>
      <c r="D117" s="1">
        <v>44543</v>
      </c>
      <c r="E117" t="str">
        <f>"2110-103414"</f>
        <v>2110-103414</v>
      </c>
      <c r="F117" t="str">
        <f>"ACCT3-3053 PCT#2"</f>
        <v>ACCT3-3053 PCT#2</v>
      </c>
      <c r="G117" s="4">
        <v>322.87</v>
      </c>
      <c r="H117" t="str">
        <f>"ACCT3-3053 PCT#2"</f>
        <v>ACCT3-3053 PCT#2</v>
      </c>
    </row>
    <row r="118" spans="1:8" x14ac:dyDescent="0.25">
      <c r="A118" t="s">
        <v>32</v>
      </c>
      <c r="B118">
        <v>138172</v>
      </c>
      <c r="C118" s="4">
        <v>553.16999999999996</v>
      </c>
      <c r="D118" s="1">
        <v>44543</v>
      </c>
      <c r="E118" t="str">
        <f>"202112027611"</f>
        <v>202112027611</v>
      </c>
      <c r="F118" t="str">
        <f>"ACCT#016020/COLLECTIONS &amp; COMP"</f>
        <v>ACCT#016020/COLLECTIONS &amp; COMP</v>
      </c>
      <c r="G118" s="4">
        <v>2.72</v>
      </c>
      <c r="H118" t="str">
        <f>"ACCT#016020/COLLECTIONS &amp; COMP"</f>
        <v>ACCT#016020/COLLECTIONS &amp; COMP</v>
      </c>
    </row>
    <row r="119" spans="1:8" x14ac:dyDescent="0.25">
      <c r="E119" t="str">
        <f>"202112027612"</f>
        <v>202112027612</v>
      </c>
      <c r="F119" t="str">
        <f>"ACCT#012571/TREASURER"</f>
        <v>ACCT#012571/TREASURER</v>
      </c>
      <c r="G119" s="4">
        <v>16.5</v>
      </c>
      <c r="H119" t="str">
        <f>"ACCT#012571/TREASURER"</f>
        <v>ACCT#012571/TREASURER</v>
      </c>
    </row>
    <row r="120" spans="1:8" x14ac:dyDescent="0.25">
      <c r="E120" t="str">
        <f>"202112027613"</f>
        <v>202112027613</v>
      </c>
      <c r="F120" t="str">
        <f>"ACCT#012260/DIST ATTNY OFFICE"</f>
        <v>ACCT#012260/DIST ATTNY OFFICE</v>
      </c>
      <c r="G120" s="4">
        <v>37.5</v>
      </c>
      <c r="H120" t="str">
        <f>"ACCT#012260/DIST ATTNY OFFICE"</f>
        <v>ACCT#012260/DIST ATTNY OFFICE</v>
      </c>
    </row>
    <row r="121" spans="1:8" x14ac:dyDescent="0.25">
      <c r="E121" t="str">
        <f>"202112027614"</f>
        <v>202112027614</v>
      </c>
      <c r="F121" t="str">
        <f>"ACCT#010057/AUDITOR"</f>
        <v>ACCT#010057/AUDITOR</v>
      </c>
      <c r="G121" s="4">
        <v>24</v>
      </c>
      <c r="H121" t="str">
        <f>"ACCT#010057/AUDITOR"</f>
        <v>ACCT#010057/AUDITOR</v>
      </c>
    </row>
    <row r="122" spans="1:8" x14ac:dyDescent="0.25">
      <c r="E122" t="str">
        <f>"202112027615"</f>
        <v>202112027615</v>
      </c>
      <c r="F122" t="str">
        <f>"ACCT#010602/COMMISSIONER OFFIC"</f>
        <v>ACCT#010602/COMMISSIONER OFFIC</v>
      </c>
      <c r="G122" s="4">
        <v>24</v>
      </c>
      <c r="H122" t="str">
        <f>"ACCT#010602/COMMISSIONER OFFIC"</f>
        <v>ACCT#010602/COMMISSIONER OFFIC</v>
      </c>
    </row>
    <row r="123" spans="1:8" x14ac:dyDescent="0.25">
      <c r="E123" t="str">
        <f>"202112027616"</f>
        <v>202112027616</v>
      </c>
      <c r="F123" t="str">
        <f>"ACCT#011280/COUNTY CLERK"</f>
        <v>ACCT#011280/COUNTY CLERK</v>
      </c>
      <c r="G123" s="4">
        <v>54</v>
      </c>
      <c r="H123" t="str">
        <f>"ACCT#011280/COUNTY CLERK"</f>
        <v>ACCT#011280/COUNTY CLERK</v>
      </c>
    </row>
    <row r="124" spans="1:8" x14ac:dyDescent="0.25">
      <c r="E124" t="str">
        <f>"202112027621"</f>
        <v>202112027621</v>
      </c>
      <c r="F124" t="str">
        <f>"ACCT#015476/PURCHASING DEPT"</f>
        <v>ACCT#015476/PURCHASING DEPT</v>
      </c>
      <c r="G124" s="4">
        <v>27.5</v>
      </c>
      <c r="H124" t="str">
        <f>"ACCT#015476/PURCHASING DEPT"</f>
        <v>ACCT#015476/PURCHASING DEPT</v>
      </c>
    </row>
    <row r="125" spans="1:8" x14ac:dyDescent="0.25">
      <c r="E125" t="str">
        <f>"202112027622"</f>
        <v>202112027622</v>
      </c>
      <c r="F125" t="str">
        <f>"ACCT#010311/COUNTY COURT AT LA"</f>
        <v>ACCT#010311/COUNTY COURT AT LA</v>
      </c>
      <c r="G125" s="4">
        <v>6</v>
      </c>
      <c r="H125" t="str">
        <f>"ACCT#010311/COUNTY COURT AT LA"</f>
        <v>ACCT#010311/COUNTY COURT AT LA</v>
      </c>
    </row>
    <row r="126" spans="1:8" x14ac:dyDescent="0.25">
      <c r="E126" t="str">
        <f>"202112027624"</f>
        <v>202112027624</v>
      </c>
      <c r="F126" t="str">
        <f>"ACCT#012231/DIST JUDGE"</f>
        <v>ACCT#012231/DIST JUDGE</v>
      </c>
      <c r="G126" s="4">
        <v>10</v>
      </c>
      <c r="H126" t="str">
        <f>"ACCT#012231/DIST JUDGE"</f>
        <v>ACCT#012231/DIST JUDGE</v>
      </c>
    </row>
    <row r="127" spans="1:8" x14ac:dyDescent="0.25">
      <c r="E127" t="str">
        <f>"202112027625"</f>
        <v>202112027625</v>
      </c>
      <c r="F127" t="str">
        <f>"ACCT#011955/DISTRICT JUDGE"</f>
        <v>ACCT#011955/DISTRICT JUDGE</v>
      </c>
      <c r="G127" s="4">
        <v>24</v>
      </c>
      <c r="H127" t="str">
        <f>"ACCT#011955/DISTRICT JUDGE"</f>
        <v>ACCT#011955/DISTRICT JUDGE</v>
      </c>
    </row>
    <row r="128" spans="1:8" x14ac:dyDescent="0.25">
      <c r="E128" t="str">
        <f>"202112027626"</f>
        <v>202112027626</v>
      </c>
      <c r="F128" t="str">
        <f>"ACCT#015199/JP#1"</f>
        <v>ACCT#015199/JP#1</v>
      </c>
      <c r="G128" s="4">
        <v>9</v>
      </c>
      <c r="H128" t="str">
        <f>"ACCT#015199/JP#1"</f>
        <v>ACCT#015199/JP#1</v>
      </c>
    </row>
    <row r="129" spans="1:8" x14ac:dyDescent="0.25">
      <c r="E129" t="str">
        <f>"202112027628"</f>
        <v>202112027628</v>
      </c>
      <c r="F129" t="str">
        <f>"ACCT#013393/HUMAN RESOURCES"</f>
        <v>ACCT#013393/HUMAN RESOURCES</v>
      </c>
      <c r="G129" s="4">
        <v>19.5</v>
      </c>
      <c r="H129" t="str">
        <f>"ACCT#013393/HUMAN RESOURCES"</f>
        <v>ACCT#013393/HUMAN RESOURCES</v>
      </c>
    </row>
    <row r="130" spans="1:8" x14ac:dyDescent="0.25">
      <c r="E130" t="str">
        <f>"202112027649"</f>
        <v>202112027649</v>
      </c>
      <c r="F130" t="str">
        <f>"ACCT#012803/JUDGE"</f>
        <v>ACCT#012803/JUDGE</v>
      </c>
      <c r="G130" s="4">
        <v>28.5</v>
      </c>
      <c r="H130" t="str">
        <f>"ACCT#012803/JUDGE"</f>
        <v>ACCT#012803/JUDGE</v>
      </c>
    </row>
    <row r="131" spans="1:8" x14ac:dyDescent="0.25">
      <c r="E131" t="str">
        <f>"202112027650"</f>
        <v>202112027650</v>
      </c>
      <c r="F131" t="str">
        <f>"ACCT#011474/ELECTIONS"</f>
        <v>ACCT#011474/ELECTIONS</v>
      </c>
      <c r="G131" s="4">
        <v>51.5</v>
      </c>
      <c r="H131" t="str">
        <f>"ACCT#011474/ELECTIONS"</f>
        <v>ACCT#011474/ELECTIONS</v>
      </c>
    </row>
    <row r="132" spans="1:8" x14ac:dyDescent="0.25">
      <c r="E132" t="str">
        <f>"202112087720"</f>
        <v>202112087720</v>
      </c>
      <c r="F132" t="str">
        <f>"ACCT#010238/GENERAL SVCS"</f>
        <v>ACCT#010238/GENERAL SVCS</v>
      </c>
      <c r="G132" s="4">
        <v>120.95</v>
      </c>
      <c r="H132" t="str">
        <f>"ACCT#010238/GENERAL SVCS"</f>
        <v>ACCT#010238/GENERAL SVCS</v>
      </c>
    </row>
    <row r="133" spans="1:8" x14ac:dyDescent="0.25">
      <c r="E133" t="str">
        <f>"202112087729"</f>
        <v>202112087729</v>
      </c>
      <c r="F133" t="str">
        <f>"ACCT#014737/ANIMAL SVCS"</f>
        <v>ACCT#014737/ANIMAL SVCS</v>
      </c>
      <c r="G133" s="4">
        <v>51</v>
      </c>
      <c r="H133" t="str">
        <f>"ACCT#014737/ANIMAL SVCS"</f>
        <v>ACCT#014737/ANIMAL SVCS</v>
      </c>
    </row>
    <row r="134" spans="1:8" x14ac:dyDescent="0.25">
      <c r="E134" t="str">
        <f>"202112087732"</f>
        <v>202112087732</v>
      </c>
      <c r="F134" t="str">
        <f>"ACCT#010149/AGRI LIFE EXT"</f>
        <v>ACCT#010149/AGRI LIFE EXT</v>
      </c>
      <c r="G134" s="4">
        <v>38.5</v>
      </c>
      <c r="H134" t="str">
        <f>"ACCT#010149/AGRI LIFE EXT"</f>
        <v>ACCT#010149/AGRI LIFE EXT</v>
      </c>
    </row>
    <row r="135" spans="1:8" x14ac:dyDescent="0.25">
      <c r="E135" t="str">
        <f>"298403"</f>
        <v>298403</v>
      </c>
      <c r="F135" t="str">
        <f>"ACCT#010835 PCT#1"</f>
        <v>ACCT#010835 PCT#1</v>
      </c>
      <c r="G135" s="4">
        <v>8</v>
      </c>
      <c r="H135" t="str">
        <f>"ACCT#010835 PCT#1"</f>
        <v>ACCT#010835 PCT#1</v>
      </c>
    </row>
    <row r="136" spans="1:8" x14ac:dyDescent="0.25">
      <c r="A136" t="s">
        <v>32</v>
      </c>
      <c r="B136">
        <v>138367</v>
      </c>
      <c r="C136" s="4">
        <v>473</v>
      </c>
      <c r="D136" s="1">
        <v>44557</v>
      </c>
      <c r="E136" t="str">
        <f>"298457"</f>
        <v>298457</v>
      </c>
      <c r="F136" t="str">
        <f>"WATER / PCT #1"</f>
        <v>WATER / PCT #1</v>
      </c>
      <c r="G136" s="4">
        <v>473</v>
      </c>
      <c r="H136" t="str">
        <f>"WATER / PCT #1"</f>
        <v>WATER / PCT #1</v>
      </c>
    </row>
    <row r="137" spans="1:8" x14ac:dyDescent="0.25">
      <c r="A137" t="s">
        <v>33</v>
      </c>
      <c r="B137">
        <v>138153</v>
      </c>
      <c r="C137" s="4">
        <v>89.76</v>
      </c>
      <c r="D137" s="1">
        <v>44539</v>
      </c>
      <c r="E137" t="str">
        <f>"202112097748"</f>
        <v>202112097748</v>
      </c>
      <c r="F137" t="str">
        <f>"ACCT#0201855301 / 11022021"</f>
        <v>ACCT#0201855301 / 11022021</v>
      </c>
      <c r="G137" s="4">
        <v>32.24</v>
      </c>
      <c r="H137" t="str">
        <f>"ACCT#0201855301 / 11022021"</f>
        <v>ACCT#0201855301 / 11022021</v>
      </c>
    </row>
    <row r="138" spans="1:8" x14ac:dyDescent="0.25">
      <c r="E138" t="str">
        <f>"202112097749"</f>
        <v>202112097749</v>
      </c>
      <c r="F138" t="str">
        <f>"ACCT#0201891401 / 11022021"</f>
        <v>ACCT#0201891401 / 11022021</v>
      </c>
      <c r="G138" s="4">
        <v>25.28</v>
      </c>
      <c r="H138" t="str">
        <f>"ACCT#0201891401 / 11022021"</f>
        <v>ACCT#0201891401 / 11022021</v>
      </c>
    </row>
    <row r="139" spans="1:8" x14ac:dyDescent="0.25">
      <c r="E139" t="str">
        <f>"202112097750"</f>
        <v>202112097750</v>
      </c>
      <c r="F139" t="str">
        <f>"ACCT#0202496901 / 11022021"</f>
        <v>ACCT#0202496901 / 11022021</v>
      </c>
      <c r="G139" s="4">
        <v>32.24</v>
      </c>
      <c r="H139" t="str">
        <f>"ACCT#0202496901 / 11022021"</f>
        <v>ACCT#0202496901 / 11022021</v>
      </c>
    </row>
    <row r="140" spans="1:8" x14ac:dyDescent="0.25">
      <c r="A140" t="s">
        <v>33</v>
      </c>
      <c r="B140">
        <v>138368</v>
      </c>
      <c r="C140" s="4">
        <v>1086.5</v>
      </c>
      <c r="D140" s="1">
        <v>44557</v>
      </c>
      <c r="E140" t="str">
        <f>"202112207953"</f>
        <v>202112207953</v>
      </c>
      <c r="F140" t="str">
        <f>"ACCT#7700010026/NOVEMBER 2021"</f>
        <v>ACCT#7700010026/NOVEMBER 2021</v>
      </c>
      <c r="G140" s="4">
        <v>143.5</v>
      </c>
      <c r="H140" t="str">
        <f>"ACCT#7700010026/NOVEMBER 2021"</f>
        <v>ACCT#7700010026/NOVEMBER 2021</v>
      </c>
    </row>
    <row r="141" spans="1:8" x14ac:dyDescent="0.25">
      <c r="E141" t="str">
        <f>"202112207958"</f>
        <v>202112207958</v>
      </c>
      <c r="F141" t="str">
        <f>"ACCT#7700010027/PCT#4"</f>
        <v>ACCT#7700010027/PCT#4</v>
      </c>
      <c r="G141" s="4">
        <v>943</v>
      </c>
      <c r="H141" t="str">
        <f>"ACCT#7700010027/PCT#4"</f>
        <v>ACCT#7700010027/PCT#4</v>
      </c>
    </row>
    <row r="142" spans="1:8" x14ac:dyDescent="0.25">
      <c r="A142" t="s">
        <v>33</v>
      </c>
      <c r="B142">
        <v>138507</v>
      </c>
      <c r="C142" s="4">
        <v>1461.89</v>
      </c>
      <c r="D142" s="1">
        <v>44559</v>
      </c>
      <c r="E142" t="str">
        <f>"202112297978"</f>
        <v>202112297978</v>
      </c>
      <c r="F142" t="str">
        <f>"ACCT#0102120801 / 12022021"</f>
        <v>ACCT#0102120801 / 12022021</v>
      </c>
      <c r="G142" s="4">
        <v>178.4</v>
      </c>
      <c r="H142" t="str">
        <f>"ACCT#0102120801 / 12022021"</f>
        <v>ACCT#0102120801 / 12022021</v>
      </c>
    </row>
    <row r="143" spans="1:8" x14ac:dyDescent="0.25">
      <c r="E143" t="str">
        <f>"202112297979"</f>
        <v>202112297979</v>
      </c>
      <c r="F143" t="str">
        <f>"ACCT#0400785803 / 12022021"</f>
        <v>ACCT#0400785803 / 12022021</v>
      </c>
      <c r="G143" s="4">
        <v>362.93</v>
      </c>
      <c r="H143" t="str">
        <f>"AQUA WATER SUPPLY CORPORATION"</f>
        <v>AQUA WATER SUPPLY CORPORATION</v>
      </c>
    </row>
    <row r="144" spans="1:8" x14ac:dyDescent="0.25">
      <c r="E144" t="str">
        <f>"202112297980"</f>
        <v>202112297980</v>
      </c>
      <c r="F144" t="str">
        <f>"ACCT#0401408501 / 12022021"</f>
        <v>ACCT#0401408501 / 12022021</v>
      </c>
      <c r="G144" s="4">
        <v>867.68</v>
      </c>
      <c r="H144" t="str">
        <f>"ACCT#0401408501 / 12022021"</f>
        <v>ACCT#0401408501 / 12022021</v>
      </c>
    </row>
    <row r="145" spans="1:8" x14ac:dyDescent="0.25">
      <c r="E145" t="str">
        <f>"202112297981"</f>
        <v>202112297981</v>
      </c>
      <c r="F145" t="str">
        <f>"ACCT#0800042801 / 12062021"</f>
        <v>ACCT#0800042801 / 12062021</v>
      </c>
      <c r="G145" s="4">
        <v>27.6</v>
      </c>
      <c r="H145" t="str">
        <f>"ACCT#0800042801 / 12062021"</f>
        <v>ACCT#0800042801 / 12062021</v>
      </c>
    </row>
    <row r="146" spans="1:8" x14ac:dyDescent="0.25">
      <c r="E146" t="str">
        <f>"202112297982"</f>
        <v>202112297982</v>
      </c>
      <c r="F146" t="str">
        <f>"ACCT#0802361501 / 12032021"</f>
        <v>ACCT#0802361501 / 12032021</v>
      </c>
      <c r="G146" s="4">
        <v>25.28</v>
      </c>
      <c r="H146" t="str">
        <f>"ACCT#0802361501 / 12032021"</f>
        <v>ACCT#0802361501 / 12032021</v>
      </c>
    </row>
    <row r="147" spans="1:8" x14ac:dyDescent="0.25">
      <c r="A147" t="s">
        <v>34</v>
      </c>
      <c r="B147">
        <v>138173</v>
      </c>
      <c r="C147" s="4">
        <v>946.2</v>
      </c>
      <c r="D147" s="1">
        <v>44543</v>
      </c>
      <c r="E147" t="str">
        <f>"2125.05"</f>
        <v>2125.05</v>
      </c>
      <c r="F147" t="str">
        <f>"BASTROP MONUMENTS CONSULTATION"</f>
        <v>BASTROP MONUMENTS CONSULTATION</v>
      </c>
      <c r="G147" s="4">
        <v>946.2</v>
      </c>
      <c r="H147" t="str">
        <f>"BASTROP MONUMENTS CONSULTATION"</f>
        <v>BASTROP MONUMENTS CONSULTATION</v>
      </c>
    </row>
    <row r="148" spans="1:8" x14ac:dyDescent="0.25">
      <c r="A148" t="s">
        <v>35</v>
      </c>
      <c r="B148">
        <v>5492</v>
      </c>
      <c r="C148" s="4">
        <v>395</v>
      </c>
      <c r="D148" s="1">
        <v>44544</v>
      </c>
      <c r="E148" t="str">
        <f>"2022-1-3"</f>
        <v>2022-1-3</v>
      </c>
      <c r="F148" t="str">
        <f>"2022 ARCIT MEMBERSHIP"</f>
        <v>2022 ARCIT MEMBERSHIP</v>
      </c>
      <c r="G148" s="4">
        <v>395</v>
      </c>
      <c r="H148" t="str">
        <f>"2022 ARCIT MEMBERSHIP"</f>
        <v>2022 ARCIT MEMBERSHIP</v>
      </c>
    </row>
    <row r="149" spans="1:8" x14ac:dyDescent="0.25">
      <c r="A149" t="s">
        <v>36</v>
      </c>
      <c r="B149">
        <v>5570</v>
      </c>
      <c r="C149" s="4">
        <v>6103.66</v>
      </c>
      <c r="D149" s="1">
        <v>44558</v>
      </c>
      <c r="E149" t="str">
        <f>"15264"</f>
        <v>15264</v>
      </c>
      <c r="F149" t="str">
        <f>"BC OCT/NOV"</f>
        <v>BC OCT/NOV</v>
      </c>
      <c r="G149" s="4">
        <v>4828.66</v>
      </c>
      <c r="H149" t="str">
        <f>"BC OCT/NOV"</f>
        <v>BC OCT/NOV</v>
      </c>
    </row>
    <row r="150" spans="1:8" x14ac:dyDescent="0.25">
      <c r="E150" t="str">
        <f>"15265"</f>
        <v>15265</v>
      </c>
      <c r="F150" t="str">
        <f>"BC OCT/NOV PRO SERV"</f>
        <v>BC OCT/NOV PRO SERV</v>
      </c>
      <c r="G150" s="4">
        <v>1275</v>
      </c>
      <c r="H150" t="str">
        <f>"BC OCT/NOV PRO SERV"</f>
        <v>BC OCT/NOV PRO SERV</v>
      </c>
    </row>
    <row r="151" spans="1:8" x14ac:dyDescent="0.25">
      <c r="A151" t="s">
        <v>37</v>
      </c>
      <c r="B151">
        <v>138174</v>
      </c>
      <c r="C151" s="4">
        <v>340</v>
      </c>
      <c r="D151" s="1">
        <v>44543</v>
      </c>
      <c r="E151" t="str">
        <f>"202111297451"</f>
        <v>202111297451</v>
      </c>
      <c r="F151" t="str">
        <f>"FERAL HOGS"</f>
        <v>FERAL HOGS</v>
      </c>
      <c r="G151" s="4">
        <v>340</v>
      </c>
      <c r="H151" t="str">
        <f>"FERAL HOGS"</f>
        <v>FERAL HOGS</v>
      </c>
    </row>
    <row r="152" spans="1:8" x14ac:dyDescent="0.25">
      <c r="A152" t="s">
        <v>38</v>
      </c>
      <c r="B152">
        <v>138175</v>
      </c>
      <c r="C152" s="4">
        <v>1588.13</v>
      </c>
      <c r="D152" s="1">
        <v>44543</v>
      </c>
      <c r="E152" t="str">
        <f>"4867*149*1 4868*14"</f>
        <v>4867*149*1 4868*14</v>
      </c>
      <c r="F152" t="str">
        <f>"JAIL MEDICAL"</f>
        <v>JAIL MEDICAL</v>
      </c>
      <c r="G152" s="4">
        <v>1588.13</v>
      </c>
      <c r="H152" t="str">
        <f>"JAIL MEDICAL"</f>
        <v>JAIL MEDICAL</v>
      </c>
    </row>
    <row r="153" spans="1:8" x14ac:dyDescent="0.25">
      <c r="A153" t="s">
        <v>38</v>
      </c>
      <c r="B153">
        <v>138369</v>
      </c>
      <c r="C153" s="4">
        <v>19735.88</v>
      </c>
      <c r="D153" s="1">
        <v>44557</v>
      </c>
      <c r="E153" t="str">
        <f>"202112207932"</f>
        <v>202112207932</v>
      </c>
      <c r="F153" t="str">
        <f>"INDIGENT HEALTH"</f>
        <v>INDIGENT HEALTH</v>
      </c>
      <c r="G153" s="4">
        <v>19735.88</v>
      </c>
      <c r="H153" t="str">
        <f>"INDIGENT HEALTH"</f>
        <v>INDIGENT HEALTH</v>
      </c>
    </row>
    <row r="154" spans="1:8" x14ac:dyDescent="0.25">
      <c r="A154" t="s">
        <v>39</v>
      </c>
      <c r="B154">
        <v>138176</v>
      </c>
      <c r="C154" s="4">
        <v>8418.59</v>
      </c>
      <c r="D154" s="1">
        <v>44543</v>
      </c>
      <c r="E154" t="str">
        <f>"202112027651"</f>
        <v>202112027651</v>
      </c>
      <c r="F154" t="str">
        <f>"ACCT#512 308-9870 530 7"</f>
        <v>ACCT#512 308-9870 530 7</v>
      </c>
      <c r="G154" s="4">
        <v>1598.21</v>
      </c>
      <c r="H154" t="str">
        <f>"ACCT#512 308-9870 530 7"</f>
        <v>ACCT#512 308-9870 530 7</v>
      </c>
    </row>
    <row r="155" spans="1:8" x14ac:dyDescent="0.25">
      <c r="E155" t="str">
        <f>"202112087722"</f>
        <v>202112087722</v>
      </c>
      <c r="F155" t="str">
        <f>"ACCT#512A49-0048 193 3"</f>
        <v>ACCT#512A49-0048 193 3</v>
      </c>
      <c r="G155" s="4">
        <v>6787.29</v>
      </c>
      <c r="H155" t="str">
        <f>"ACCT#512A49-0048 193 3"</f>
        <v>ACCT#512A49-0048 193 3</v>
      </c>
    </row>
    <row r="156" spans="1:8" x14ac:dyDescent="0.25">
      <c r="E156" t="str">
        <f>""</f>
        <v/>
      </c>
      <c r="F156" t="str">
        <f>""</f>
        <v/>
      </c>
      <c r="G156" s="4">
        <v>141.25</v>
      </c>
      <c r="H156" t="str">
        <f>"ACCT#512A49-0048 193 3"</f>
        <v>ACCT#512A49-0048 193 3</v>
      </c>
    </row>
    <row r="157" spans="1:8" x14ac:dyDescent="0.25">
      <c r="E157" t="str">
        <f>""</f>
        <v/>
      </c>
      <c r="F157" t="str">
        <f>""</f>
        <v/>
      </c>
      <c r="G157" s="4">
        <v>-108.16</v>
      </c>
      <c r="H157" t="str">
        <f>"ACCT#512A49-0048 193 3"</f>
        <v>ACCT#512A49-0048 193 3</v>
      </c>
    </row>
    <row r="158" spans="1:8" x14ac:dyDescent="0.25">
      <c r="A158" t="s">
        <v>39</v>
      </c>
      <c r="B158">
        <v>138177</v>
      </c>
      <c r="C158" s="4">
        <v>250</v>
      </c>
      <c r="D158" s="1">
        <v>44543</v>
      </c>
      <c r="E158" t="str">
        <f>"408064"</f>
        <v>408064</v>
      </c>
      <c r="F158" t="str">
        <f>"INV 408064"</f>
        <v>INV 408064</v>
      </c>
      <c r="G158" s="4">
        <v>250</v>
      </c>
      <c r="H158" t="str">
        <f>"INV 408064"</f>
        <v>INV 408064</v>
      </c>
    </row>
    <row r="159" spans="1:8" x14ac:dyDescent="0.25">
      <c r="A159" t="s">
        <v>39</v>
      </c>
      <c r="B159">
        <v>138178</v>
      </c>
      <c r="C159" s="4">
        <v>7491.08</v>
      </c>
      <c r="D159" s="1">
        <v>44543</v>
      </c>
      <c r="E159" t="str">
        <f>"3757386608"</f>
        <v>3757386608</v>
      </c>
      <c r="F159" t="str">
        <f>"ACCT#831-000-7919 623"</f>
        <v>ACCT#831-000-7919 623</v>
      </c>
      <c r="G159" s="4">
        <v>2000.38</v>
      </c>
      <c r="H159" t="str">
        <f>"ACCT#831-000-7919 623"</f>
        <v>ACCT#831-000-7919 623</v>
      </c>
    </row>
    <row r="160" spans="1:8" x14ac:dyDescent="0.25">
      <c r="E160" t="str">
        <f>"5408455609"</f>
        <v>5408455609</v>
      </c>
      <c r="F160" t="str">
        <f>"ACCT#831-000-7218 923"</f>
        <v>ACCT#831-000-7218 923</v>
      </c>
      <c r="G160" s="4">
        <v>874.25</v>
      </c>
      <c r="H160" t="str">
        <f>"ACCT#831-000-7218 923"</f>
        <v>ACCT#831-000-7218 923</v>
      </c>
    </row>
    <row r="161" spans="1:8" x14ac:dyDescent="0.25">
      <c r="E161" t="str">
        <f>"6822426606"</f>
        <v>6822426606</v>
      </c>
      <c r="F161" t="str">
        <f>"ACCT#831-000-6084 095"</f>
        <v>ACCT#831-000-6084 095</v>
      </c>
      <c r="G161" s="4">
        <v>1684.69</v>
      </c>
      <c r="H161" t="str">
        <f>"ACCT#831-000-6084 095"</f>
        <v>ACCT#831-000-6084 095</v>
      </c>
    </row>
    <row r="162" spans="1:8" x14ac:dyDescent="0.25">
      <c r="E162" t="str">
        <f>"7788165601"</f>
        <v>7788165601</v>
      </c>
      <c r="F162" t="str">
        <f>"ACCT#831-000-9850 451"</f>
        <v>ACCT#831-000-9850 451</v>
      </c>
      <c r="G162" s="4">
        <v>2931.76</v>
      </c>
      <c r="H162" t="str">
        <f>"ACCT#831-000-9850 451"</f>
        <v>ACCT#831-000-9850 451</v>
      </c>
    </row>
    <row r="163" spans="1:8" x14ac:dyDescent="0.25">
      <c r="A163" t="s">
        <v>40</v>
      </c>
      <c r="B163">
        <v>138179</v>
      </c>
      <c r="C163" s="4">
        <v>7127.7</v>
      </c>
      <c r="D163" s="1">
        <v>44543</v>
      </c>
      <c r="E163" t="str">
        <f>"202112077694"</f>
        <v>202112077694</v>
      </c>
      <c r="F163" t="str">
        <f>"INV 287280903541X11202021"</f>
        <v>INV 287280903541X11202021</v>
      </c>
      <c r="G163" s="4">
        <v>264.2</v>
      </c>
      <c r="H163" t="str">
        <f>"INV 287280903541X11202021"</f>
        <v>INV 287280903541X11202021</v>
      </c>
    </row>
    <row r="164" spans="1:8" x14ac:dyDescent="0.25">
      <c r="E164" t="str">
        <f>"202112087711"</f>
        <v>202112087711</v>
      </c>
      <c r="F164" t="str">
        <f>"ACCT#287290524359/FAN#58143538"</f>
        <v>ACCT#287290524359/FAN#58143538</v>
      </c>
      <c r="G164" s="4">
        <v>148</v>
      </c>
      <c r="H164" t="str">
        <f t="shared" ref="H164:H177" si="2">"ACCT#287290524359/FAN#58143538"</f>
        <v>ACCT#287290524359/FAN#58143538</v>
      </c>
    </row>
    <row r="165" spans="1:8" x14ac:dyDescent="0.25">
      <c r="E165" t="str">
        <f>""</f>
        <v/>
      </c>
      <c r="F165" t="str">
        <f>""</f>
        <v/>
      </c>
      <c r="G165" s="4">
        <v>259</v>
      </c>
      <c r="H165" t="str">
        <f t="shared" si="2"/>
        <v>ACCT#287290524359/FAN#58143538</v>
      </c>
    </row>
    <row r="166" spans="1:8" x14ac:dyDescent="0.25">
      <c r="E166" t="str">
        <f>""</f>
        <v/>
      </c>
      <c r="F166" t="str">
        <f>""</f>
        <v/>
      </c>
      <c r="G166" s="4">
        <v>37</v>
      </c>
      <c r="H166" t="str">
        <f t="shared" si="2"/>
        <v>ACCT#287290524359/FAN#58143538</v>
      </c>
    </row>
    <row r="167" spans="1:8" x14ac:dyDescent="0.25">
      <c r="E167" t="str">
        <f>""</f>
        <v/>
      </c>
      <c r="F167" t="str">
        <f>""</f>
        <v/>
      </c>
      <c r="G167" s="4">
        <v>39.47</v>
      </c>
      <c r="H167" t="str">
        <f t="shared" si="2"/>
        <v>ACCT#287290524359/FAN#58143538</v>
      </c>
    </row>
    <row r="168" spans="1:8" x14ac:dyDescent="0.25">
      <c r="E168" t="str">
        <f>""</f>
        <v/>
      </c>
      <c r="F168" t="str">
        <f>""</f>
        <v/>
      </c>
      <c r="G168" s="4">
        <v>37</v>
      </c>
      <c r="H168" t="str">
        <f t="shared" si="2"/>
        <v>ACCT#287290524359/FAN#58143538</v>
      </c>
    </row>
    <row r="169" spans="1:8" x14ac:dyDescent="0.25">
      <c r="E169" t="str">
        <f>""</f>
        <v/>
      </c>
      <c r="F169" t="str">
        <f>""</f>
        <v/>
      </c>
      <c r="G169" s="4">
        <v>185</v>
      </c>
      <c r="H169" t="str">
        <f t="shared" si="2"/>
        <v>ACCT#287290524359/FAN#58143538</v>
      </c>
    </row>
    <row r="170" spans="1:8" x14ac:dyDescent="0.25">
      <c r="E170" t="str">
        <f>""</f>
        <v/>
      </c>
      <c r="F170" t="str">
        <f>""</f>
        <v/>
      </c>
      <c r="G170" s="4">
        <v>37</v>
      </c>
      <c r="H170" t="str">
        <f t="shared" si="2"/>
        <v>ACCT#287290524359/FAN#58143538</v>
      </c>
    </row>
    <row r="171" spans="1:8" x14ac:dyDescent="0.25">
      <c r="E171" t="str">
        <f>""</f>
        <v/>
      </c>
      <c r="F171" t="str">
        <f>""</f>
        <v/>
      </c>
      <c r="G171" s="4">
        <v>561</v>
      </c>
      <c r="H171" t="str">
        <f t="shared" si="2"/>
        <v>ACCT#287290524359/FAN#58143538</v>
      </c>
    </row>
    <row r="172" spans="1:8" x14ac:dyDescent="0.25">
      <c r="E172" t="str">
        <f>""</f>
        <v/>
      </c>
      <c r="F172" t="str">
        <f>""</f>
        <v/>
      </c>
      <c r="G172" s="4">
        <v>185</v>
      </c>
      <c r="H172" t="str">
        <f t="shared" si="2"/>
        <v>ACCT#287290524359/FAN#58143538</v>
      </c>
    </row>
    <row r="173" spans="1:8" x14ac:dyDescent="0.25">
      <c r="E173" t="str">
        <f>""</f>
        <v/>
      </c>
      <c r="F173" t="str">
        <f>""</f>
        <v/>
      </c>
      <c r="G173" s="4">
        <v>259</v>
      </c>
      <c r="H173" t="str">
        <f t="shared" si="2"/>
        <v>ACCT#287290524359/FAN#58143538</v>
      </c>
    </row>
    <row r="174" spans="1:8" x14ac:dyDescent="0.25">
      <c r="E174" t="str">
        <f>""</f>
        <v/>
      </c>
      <c r="F174" t="str">
        <f>""</f>
        <v/>
      </c>
      <c r="G174" s="4">
        <v>37</v>
      </c>
      <c r="H174" t="str">
        <f t="shared" si="2"/>
        <v>ACCT#287290524359/FAN#58143538</v>
      </c>
    </row>
    <row r="175" spans="1:8" x14ac:dyDescent="0.25">
      <c r="E175" t="str">
        <f>""</f>
        <v/>
      </c>
      <c r="F175" t="str">
        <f>""</f>
        <v/>
      </c>
      <c r="G175" s="4">
        <v>3023.66</v>
      </c>
      <c r="H175" t="str">
        <f t="shared" si="2"/>
        <v>ACCT#287290524359/FAN#58143538</v>
      </c>
    </row>
    <row r="176" spans="1:8" x14ac:dyDescent="0.25">
      <c r="E176" t="str">
        <f>""</f>
        <v/>
      </c>
      <c r="F176" t="str">
        <f>""</f>
        <v/>
      </c>
      <c r="G176" s="4">
        <v>74</v>
      </c>
      <c r="H176" t="str">
        <f t="shared" si="2"/>
        <v>ACCT#287290524359/FAN#58143538</v>
      </c>
    </row>
    <row r="177" spans="5:8" x14ac:dyDescent="0.25">
      <c r="E177" t="str">
        <f>""</f>
        <v/>
      </c>
      <c r="F177" t="str">
        <f>""</f>
        <v/>
      </c>
      <c r="G177" s="4">
        <v>37</v>
      </c>
      <c r="H177" t="str">
        <f t="shared" si="2"/>
        <v>ACCT#287290524359/FAN#58143538</v>
      </c>
    </row>
    <row r="178" spans="5:8" x14ac:dyDescent="0.25">
      <c r="E178" t="str">
        <f>"287263291654112021"</f>
        <v>287263291654112021</v>
      </c>
      <c r="F178" t="str">
        <f>"ACCT#287263291654/10/13-11/12"</f>
        <v>ACCT#287263291654/10/13-11/12</v>
      </c>
      <c r="G178" s="4">
        <v>75.98</v>
      </c>
      <c r="H178" t="str">
        <f t="shared" ref="H178:H195" si="3">"ACCT#287263291654/10/13-11/12"</f>
        <v>ACCT#287263291654/10/13-11/12</v>
      </c>
    </row>
    <row r="179" spans="5:8" x14ac:dyDescent="0.25">
      <c r="E179" t="str">
        <f>""</f>
        <v/>
      </c>
      <c r="F179" t="str">
        <f>""</f>
        <v/>
      </c>
      <c r="G179" s="4">
        <v>113.97</v>
      </c>
      <c r="H179" t="str">
        <f t="shared" si="3"/>
        <v>ACCT#287263291654/10/13-11/12</v>
      </c>
    </row>
    <row r="180" spans="5:8" x14ac:dyDescent="0.25">
      <c r="E180" t="str">
        <f>""</f>
        <v/>
      </c>
      <c r="F180" t="str">
        <f>""</f>
        <v/>
      </c>
      <c r="G180" s="4">
        <v>37.99</v>
      </c>
      <c r="H180" t="str">
        <f t="shared" si="3"/>
        <v>ACCT#287263291654/10/13-11/12</v>
      </c>
    </row>
    <row r="181" spans="5:8" x14ac:dyDescent="0.25">
      <c r="E181" t="str">
        <f>""</f>
        <v/>
      </c>
      <c r="F181" t="str">
        <f>""</f>
        <v/>
      </c>
      <c r="G181" s="4">
        <v>189.95</v>
      </c>
      <c r="H181" t="str">
        <f t="shared" si="3"/>
        <v>ACCT#287263291654/10/13-11/12</v>
      </c>
    </row>
    <row r="182" spans="5:8" x14ac:dyDescent="0.25">
      <c r="E182" t="str">
        <f>""</f>
        <v/>
      </c>
      <c r="F182" t="str">
        <f>""</f>
        <v/>
      </c>
      <c r="G182" s="4">
        <v>75.98</v>
      </c>
      <c r="H182" t="str">
        <f t="shared" si="3"/>
        <v>ACCT#287263291654/10/13-11/12</v>
      </c>
    </row>
    <row r="183" spans="5:8" x14ac:dyDescent="0.25">
      <c r="E183" t="str">
        <f>""</f>
        <v/>
      </c>
      <c r="F183" t="str">
        <f>""</f>
        <v/>
      </c>
      <c r="G183" s="4">
        <v>37.99</v>
      </c>
      <c r="H183" t="str">
        <f t="shared" si="3"/>
        <v>ACCT#287263291654/10/13-11/12</v>
      </c>
    </row>
    <row r="184" spans="5:8" x14ac:dyDescent="0.25">
      <c r="E184" t="str">
        <f>""</f>
        <v/>
      </c>
      <c r="F184" t="str">
        <f>""</f>
        <v/>
      </c>
      <c r="G184" s="4">
        <v>350.91</v>
      </c>
      <c r="H184" t="str">
        <f t="shared" si="3"/>
        <v>ACCT#287263291654/10/13-11/12</v>
      </c>
    </row>
    <row r="185" spans="5:8" x14ac:dyDescent="0.25">
      <c r="E185" t="str">
        <f>""</f>
        <v/>
      </c>
      <c r="F185" t="str">
        <f>""</f>
        <v/>
      </c>
      <c r="G185" s="4">
        <v>75.98</v>
      </c>
      <c r="H185" t="str">
        <f t="shared" si="3"/>
        <v>ACCT#287263291654/10/13-11/12</v>
      </c>
    </row>
    <row r="186" spans="5:8" x14ac:dyDescent="0.25">
      <c r="E186" t="str">
        <f>""</f>
        <v/>
      </c>
      <c r="F186" t="str">
        <f>""</f>
        <v/>
      </c>
      <c r="G186" s="4">
        <v>151.96</v>
      </c>
      <c r="H186" t="str">
        <f t="shared" si="3"/>
        <v>ACCT#287263291654/10/13-11/12</v>
      </c>
    </row>
    <row r="187" spans="5:8" x14ac:dyDescent="0.25">
      <c r="E187" t="str">
        <f>""</f>
        <v/>
      </c>
      <c r="F187" t="str">
        <f>""</f>
        <v/>
      </c>
      <c r="G187" s="4">
        <v>327.99</v>
      </c>
      <c r="H187" t="str">
        <f t="shared" si="3"/>
        <v>ACCT#287263291654/10/13-11/12</v>
      </c>
    </row>
    <row r="188" spans="5:8" x14ac:dyDescent="0.25">
      <c r="E188" t="str">
        <f>""</f>
        <v/>
      </c>
      <c r="F188" t="str">
        <f>""</f>
        <v/>
      </c>
      <c r="G188" s="4">
        <v>75.98</v>
      </c>
      <c r="H188" t="str">
        <f t="shared" si="3"/>
        <v>ACCT#287263291654/10/13-11/12</v>
      </c>
    </row>
    <row r="189" spans="5:8" x14ac:dyDescent="0.25">
      <c r="E189" t="str">
        <f>""</f>
        <v/>
      </c>
      <c r="F189" t="str">
        <f>""</f>
        <v/>
      </c>
      <c r="G189" s="4">
        <v>37.99</v>
      </c>
      <c r="H189" t="str">
        <f t="shared" si="3"/>
        <v>ACCT#287263291654/10/13-11/12</v>
      </c>
    </row>
    <row r="190" spans="5:8" x14ac:dyDescent="0.25">
      <c r="E190" t="str">
        <f>""</f>
        <v/>
      </c>
      <c r="F190" t="str">
        <f>""</f>
        <v/>
      </c>
      <c r="G190" s="4">
        <v>75.98</v>
      </c>
      <c r="H190" t="str">
        <f t="shared" si="3"/>
        <v>ACCT#287263291654/10/13-11/12</v>
      </c>
    </row>
    <row r="191" spans="5:8" x14ac:dyDescent="0.25">
      <c r="E191" t="str">
        <f>""</f>
        <v/>
      </c>
      <c r="F191" t="str">
        <f>""</f>
        <v/>
      </c>
      <c r="G191" s="4">
        <v>37.99</v>
      </c>
      <c r="H191" t="str">
        <f t="shared" si="3"/>
        <v>ACCT#287263291654/10/13-11/12</v>
      </c>
    </row>
    <row r="192" spans="5:8" x14ac:dyDescent="0.25">
      <c r="E192" t="str">
        <f>""</f>
        <v/>
      </c>
      <c r="F192" t="str">
        <f>""</f>
        <v/>
      </c>
      <c r="G192" s="4">
        <v>37.99</v>
      </c>
      <c r="H192" t="str">
        <f t="shared" si="3"/>
        <v>ACCT#287263291654/10/13-11/12</v>
      </c>
    </row>
    <row r="193" spans="1:8" x14ac:dyDescent="0.25">
      <c r="E193" t="str">
        <f>""</f>
        <v/>
      </c>
      <c r="F193" t="str">
        <f>""</f>
        <v/>
      </c>
      <c r="G193" s="4">
        <v>37.99</v>
      </c>
      <c r="H193" t="str">
        <f t="shared" si="3"/>
        <v>ACCT#287263291654/10/13-11/12</v>
      </c>
    </row>
    <row r="194" spans="1:8" x14ac:dyDescent="0.25">
      <c r="E194" t="str">
        <f>""</f>
        <v/>
      </c>
      <c r="F194" t="str">
        <f>""</f>
        <v/>
      </c>
      <c r="G194" s="4">
        <v>37.99</v>
      </c>
      <c r="H194" t="str">
        <f t="shared" si="3"/>
        <v>ACCT#287263291654/10/13-11/12</v>
      </c>
    </row>
    <row r="195" spans="1:8" x14ac:dyDescent="0.25">
      <c r="E195" t="str">
        <f>""</f>
        <v/>
      </c>
      <c r="F195" t="str">
        <f>""</f>
        <v/>
      </c>
      <c r="G195" s="4">
        <v>163.76</v>
      </c>
      <c r="H195" t="str">
        <f t="shared" si="3"/>
        <v>ACCT#287263291654/10/13-11/12</v>
      </c>
    </row>
    <row r="196" spans="1:8" x14ac:dyDescent="0.25">
      <c r="A196" t="s">
        <v>41</v>
      </c>
      <c r="B196">
        <v>138180</v>
      </c>
      <c r="C196" s="4">
        <v>100</v>
      </c>
      <c r="D196" s="1">
        <v>44543</v>
      </c>
      <c r="E196" t="str">
        <f>"IO587742"</f>
        <v>IO587742</v>
      </c>
      <c r="F196" t="str">
        <f>"CUST ID#132733/GERM AID"</f>
        <v>CUST ID#132733/GERM AID</v>
      </c>
      <c r="G196" s="4">
        <v>100</v>
      </c>
      <c r="H196" t="str">
        <f>"CUST ID#132733/GERM AID"</f>
        <v>CUST ID#132733/GERM AID</v>
      </c>
    </row>
    <row r="197" spans="1:8" x14ac:dyDescent="0.25">
      <c r="A197" t="s">
        <v>42</v>
      </c>
      <c r="B197">
        <v>138181</v>
      </c>
      <c r="C197" s="4">
        <v>1074.4000000000001</v>
      </c>
      <c r="D197" s="1">
        <v>44543</v>
      </c>
      <c r="E197" t="str">
        <f>"20595"</f>
        <v>20595</v>
      </c>
      <c r="F197" t="str">
        <f>"Austin American Statement"</f>
        <v>Austin American Statement</v>
      </c>
      <c r="G197" s="4">
        <v>798.56</v>
      </c>
      <c r="H197" t="str">
        <f>"HMAP MEETING NOTICE"</f>
        <v>HMAP MEETING NOTICE</v>
      </c>
    </row>
    <row r="198" spans="1:8" x14ac:dyDescent="0.25">
      <c r="E198" t="str">
        <f>"20881"</f>
        <v>20881</v>
      </c>
      <c r="F198" t="str">
        <f>"Public Notice"</f>
        <v>Public Notice</v>
      </c>
      <c r="G198" s="4">
        <v>275.83999999999997</v>
      </c>
      <c r="H198" t="str">
        <f>"Public Notice"</f>
        <v>Public Notice</v>
      </c>
    </row>
    <row r="199" spans="1:8" x14ac:dyDescent="0.25">
      <c r="A199" t="s">
        <v>43</v>
      </c>
      <c r="B199">
        <v>138370</v>
      </c>
      <c r="C199" s="4">
        <v>154.38999999999999</v>
      </c>
      <c r="D199" s="1">
        <v>44557</v>
      </c>
      <c r="E199" t="str">
        <f>"202112207935"</f>
        <v>202112207935</v>
      </c>
      <c r="F199" t="str">
        <f>"INDIGENT HEALTH"</f>
        <v>INDIGENT HEALTH</v>
      </c>
      <c r="G199" s="4">
        <v>154.38999999999999</v>
      </c>
      <c r="H199" t="str">
        <f>"INDIGENT HEALTH"</f>
        <v>INDIGENT HEALTH</v>
      </c>
    </row>
    <row r="200" spans="1:8" x14ac:dyDescent="0.25">
      <c r="A200" t="s">
        <v>44</v>
      </c>
      <c r="B200">
        <v>138371</v>
      </c>
      <c r="C200" s="4">
        <v>120.14</v>
      </c>
      <c r="D200" s="1">
        <v>44557</v>
      </c>
      <c r="E200" t="str">
        <f>"202112197872"</f>
        <v>202112197872</v>
      </c>
      <c r="F200" t="str">
        <f>"JAIL MEDICAL"</f>
        <v>JAIL MEDICAL</v>
      </c>
      <c r="G200" s="4">
        <v>120.14</v>
      </c>
      <c r="H200" t="str">
        <f>"JAIL MEDICAL"</f>
        <v>JAIL MEDICAL</v>
      </c>
    </row>
    <row r="201" spans="1:8" x14ac:dyDescent="0.25">
      <c r="A201" t="s">
        <v>45</v>
      </c>
      <c r="B201">
        <v>138372</v>
      </c>
      <c r="C201" s="4">
        <v>149.94</v>
      </c>
      <c r="D201" s="1">
        <v>44557</v>
      </c>
      <c r="E201" t="str">
        <f>"353293"</f>
        <v>353293</v>
      </c>
      <c r="F201" t="str">
        <f>"CUST#7627/PCT#4"</f>
        <v>CUST#7627/PCT#4</v>
      </c>
      <c r="G201" s="4">
        <v>149.94</v>
      </c>
      <c r="H201" t="str">
        <f>"CUST#7627/PCT#4"</f>
        <v>CUST#7627/PCT#4</v>
      </c>
    </row>
    <row r="202" spans="1:8" x14ac:dyDescent="0.25">
      <c r="A202" t="s">
        <v>46</v>
      </c>
      <c r="B202">
        <v>5506</v>
      </c>
      <c r="C202" s="4">
        <v>854</v>
      </c>
      <c r="D202" s="1">
        <v>44544</v>
      </c>
      <c r="E202" t="str">
        <f>"348984"</f>
        <v>348984</v>
      </c>
      <c r="F202" t="str">
        <f>"REF#4210147185/LABOR/REPAIR"</f>
        <v>REF#4210147185/LABOR/REPAIR</v>
      </c>
      <c r="G202" s="4">
        <v>854</v>
      </c>
      <c r="H202" t="str">
        <f>"REF#4210147185/LABOR/REPAIR"</f>
        <v>REF#4210147185/LABOR/REPAIR</v>
      </c>
    </row>
    <row r="203" spans="1:8" x14ac:dyDescent="0.25">
      <c r="A203" t="s">
        <v>47</v>
      </c>
      <c r="B203">
        <v>5520</v>
      </c>
      <c r="C203" s="4">
        <v>592.49</v>
      </c>
      <c r="D203" s="1">
        <v>44544</v>
      </c>
      <c r="E203" t="str">
        <f>"202112087731"</f>
        <v>202112087731</v>
      </c>
      <c r="F203" t="str">
        <f>"CUST ID:0017/ANIMAL CONTROL"</f>
        <v>CUST ID:0017/ANIMAL CONTROL</v>
      </c>
      <c r="G203" s="4">
        <v>227.49</v>
      </c>
      <c r="H203" t="str">
        <f>"CUST ID:0017/ANIMAL CONTROL"</f>
        <v>CUST ID:0017/ANIMAL CONTROL</v>
      </c>
    </row>
    <row r="204" spans="1:8" x14ac:dyDescent="0.25">
      <c r="E204" t="str">
        <f>"388946"</f>
        <v>388946</v>
      </c>
      <c r="F204" t="str">
        <f>"CUST ID 0010 PCT#2"</f>
        <v>CUST ID 0010 PCT#2</v>
      </c>
      <c r="G204" s="4">
        <v>304</v>
      </c>
      <c r="H204" t="str">
        <f>"CUST ID 0010 PCT#2"</f>
        <v>CUST ID 0010 PCT#2</v>
      </c>
    </row>
    <row r="205" spans="1:8" x14ac:dyDescent="0.25">
      <c r="E205" t="str">
        <f>"389073"</f>
        <v>389073</v>
      </c>
      <c r="F205" t="str">
        <f>"CUST ID 0011 PCT#3"</f>
        <v>CUST ID 0011 PCT#3</v>
      </c>
      <c r="G205" s="4">
        <v>61</v>
      </c>
      <c r="H205" t="str">
        <f>"CUST ID 0011 PCT#3"</f>
        <v>CUST ID 0011 PCT#3</v>
      </c>
    </row>
    <row r="206" spans="1:8" x14ac:dyDescent="0.25">
      <c r="A206" t="s">
        <v>48</v>
      </c>
      <c r="B206">
        <v>5483</v>
      </c>
      <c r="C206" s="4">
        <v>350</v>
      </c>
      <c r="D206" s="1">
        <v>44544</v>
      </c>
      <c r="E206" t="str">
        <f>"1649"</f>
        <v>1649</v>
      </c>
      <c r="F206" t="str">
        <f>"LD OF BEDDING SAND/CEDAR CREEK"</f>
        <v>LD OF BEDDING SAND/CEDAR CREEK</v>
      </c>
      <c r="G206" s="4">
        <v>350</v>
      </c>
      <c r="H206" t="str">
        <f>"LD OF BEDDING SAND/CEDAR CREEK"</f>
        <v>LD OF BEDDING SAND/CEDAR CREEK</v>
      </c>
    </row>
    <row r="207" spans="1:8" x14ac:dyDescent="0.25">
      <c r="A207" t="s">
        <v>48</v>
      </c>
      <c r="B207">
        <v>5562</v>
      </c>
      <c r="C207" s="4">
        <v>1650</v>
      </c>
      <c r="D207" s="1">
        <v>44558</v>
      </c>
      <c r="E207" t="str">
        <f>"1652"</f>
        <v>1652</v>
      </c>
      <c r="F207" t="str">
        <f>"LONE STAR RD / PCT#1"</f>
        <v>LONE STAR RD / PCT#1</v>
      </c>
      <c r="G207" s="4">
        <v>1650</v>
      </c>
      <c r="H207" t="str">
        <f>"LONE STAR RD / PCT#1"</f>
        <v>LONE STAR RD / PCT#1</v>
      </c>
    </row>
    <row r="208" spans="1:8" x14ac:dyDescent="0.25">
      <c r="A208" t="s">
        <v>49</v>
      </c>
      <c r="B208">
        <v>138373</v>
      </c>
      <c r="C208" s="4">
        <v>12339.5</v>
      </c>
      <c r="D208" s="1">
        <v>44557</v>
      </c>
      <c r="E208" t="str">
        <f>"18316"</f>
        <v>18316</v>
      </c>
      <c r="F208" t="str">
        <f>"LABOR FOR SVC CALL/ENVIRO FEE"</f>
        <v>LABOR FOR SVC CALL/ENVIRO FEE</v>
      </c>
      <c r="G208" s="4">
        <v>152.5</v>
      </c>
      <c r="H208" t="str">
        <f>"LABOR FOR SVC CALL/ENVIRO FEE"</f>
        <v>LABOR FOR SVC CALL/ENVIRO FEE</v>
      </c>
    </row>
    <row r="209" spans="1:8" x14ac:dyDescent="0.25">
      <c r="E209" t="str">
        <f>"18359"</f>
        <v>18359</v>
      </c>
      <c r="F209" t="str">
        <f>"LABOR FOR SVC CALL/ENVIRO FEE"</f>
        <v>LABOR FOR SVC CALL/ENVIRO FEE</v>
      </c>
      <c r="G209" s="4">
        <v>152.5</v>
      </c>
      <c r="H209" t="str">
        <f>"LABOR FOR SVC CALL/ENVIRO FEE"</f>
        <v>LABOR FOR SVC CALL/ENVIRO FEE</v>
      </c>
    </row>
    <row r="210" spans="1:8" x14ac:dyDescent="0.25">
      <c r="E210" t="str">
        <f>"18360"</f>
        <v>18360</v>
      </c>
      <c r="F210" t="str">
        <f>"LABOR/MATERIALS/ENVIRO FEE"</f>
        <v>LABOR/MATERIALS/ENVIRO FEE</v>
      </c>
      <c r="G210" s="4">
        <v>309</v>
      </c>
      <c r="H210" t="str">
        <f>"LABOR/MATERIALS/ENVIRO FEE"</f>
        <v>LABOR/MATERIALS/ENVIRO FEE</v>
      </c>
    </row>
    <row r="211" spans="1:8" x14ac:dyDescent="0.25">
      <c r="E211" t="str">
        <f>"18372"</f>
        <v>18372</v>
      </c>
      <c r="F211" t="str">
        <f>"LABOR/MATERIALS/ENVIRO FEE"</f>
        <v>LABOR/MATERIALS/ENVIRO FEE</v>
      </c>
      <c r="G211" s="4">
        <v>2150.5</v>
      </c>
      <c r="H211" t="str">
        <f>"LABOR/MATERIALS/ENVIRO FEE"</f>
        <v>LABOR/MATERIALS/ENVIRO FEE</v>
      </c>
    </row>
    <row r="212" spans="1:8" x14ac:dyDescent="0.25">
      <c r="E212" t="str">
        <f>"18728"</f>
        <v>18728</v>
      </c>
      <c r="F212" t="str">
        <f>"LABOR/MATERIALS/ENVIRO FEE"</f>
        <v>LABOR/MATERIALS/ENVIRO FEE</v>
      </c>
      <c r="G212" s="4">
        <v>9575</v>
      </c>
      <c r="H212" t="str">
        <f>"LABOR/MATERIALS/ENVIRO FEE"</f>
        <v>LABOR/MATERIALS/ENVIRO FEE</v>
      </c>
    </row>
    <row r="213" spans="1:8" x14ac:dyDescent="0.25">
      <c r="A213" t="s">
        <v>50</v>
      </c>
      <c r="B213">
        <v>138182</v>
      </c>
      <c r="C213" s="4">
        <v>500</v>
      </c>
      <c r="D213" s="1">
        <v>44543</v>
      </c>
      <c r="E213" t="str">
        <f>"202111307495"</f>
        <v>202111307495</v>
      </c>
      <c r="F213" t="str">
        <f>"PROCEEDS FROM AUCTION"</f>
        <v>PROCEEDS FROM AUCTION</v>
      </c>
      <c r="G213" s="4">
        <v>500</v>
      </c>
      <c r="H213" t="str">
        <f>"PROCEEDS FROM AUCTION"</f>
        <v>PROCEEDS FROM AUCTION</v>
      </c>
    </row>
    <row r="214" spans="1:8" x14ac:dyDescent="0.25">
      <c r="A214" t="s">
        <v>51</v>
      </c>
      <c r="B214">
        <v>138183</v>
      </c>
      <c r="C214" s="4">
        <v>225</v>
      </c>
      <c r="D214" s="1">
        <v>44543</v>
      </c>
      <c r="E214" t="str">
        <f>"12930"</f>
        <v>12930</v>
      </c>
      <c r="F214" t="str">
        <f>"SERVICE 10/06/21"</f>
        <v>SERVICE 10/06/21</v>
      </c>
      <c r="G214" s="4">
        <v>150</v>
      </c>
      <c r="H214" t="str">
        <f>"SERVICE 10/06/21"</f>
        <v>SERVICE 10/06/21</v>
      </c>
    </row>
    <row r="215" spans="1:8" x14ac:dyDescent="0.25">
      <c r="E215" t="str">
        <f>"13378  10/07/21"</f>
        <v>13378  10/07/21</v>
      </c>
      <c r="F215" t="str">
        <f>"SERVICE"</f>
        <v>SERVICE</v>
      </c>
      <c r="G215" s="4">
        <v>50</v>
      </c>
      <c r="H215" t="str">
        <f>"SERVICE"</f>
        <v>SERVICE</v>
      </c>
    </row>
    <row r="216" spans="1:8" x14ac:dyDescent="0.25">
      <c r="E216" t="str">
        <f>"13510  10/06/21"</f>
        <v>13510  10/06/21</v>
      </c>
      <c r="F216" t="str">
        <f>"SERVICE"</f>
        <v>SERVICE</v>
      </c>
      <c r="G216" s="4">
        <v>25</v>
      </c>
      <c r="H216" t="str">
        <f>"SERVICE"</f>
        <v>SERVICE</v>
      </c>
    </row>
    <row r="217" spans="1:8" x14ac:dyDescent="0.25">
      <c r="A217" t="s">
        <v>51</v>
      </c>
      <c r="B217">
        <v>138374</v>
      </c>
      <c r="C217" s="4">
        <v>5298</v>
      </c>
      <c r="D217" s="1">
        <v>44557</v>
      </c>
      <c r="E217" t="str">
        <f>"12690"</f>
        <v>12690</v>
      </c>
      <c r="F217" t="str">
        <f>"SERVICE"</f>
        <v>SERVICE</v>
      </c>
      <c r="G217" s="4">
        <v>250</v>
      </c>
      <c r="H217" t="str">
        <f>"SERVICE"</f>
        <v>SERVICE</v>
      </c>
    </row>
    <row r="218" spans="1:8" x14ac:dyDescent="0.25">
      <c r="E218" t="str">
        <f>"12849  10/28/2021"</f>
        <v>12849  10/28/2021</v>
      </c>
      <c r="F218" t="str">
        <f>"SERVICE"</f>
        <v>SERVICE</v>
      </c>
      <c r="G218" s="4">
        <v>250</v>
      </c>
      <c r="H218" t="str">
        <f>"SERVICE"</f>
        <v>SERVICE</v>
      </c>
    </row>
    <row r="219" spans="1:8" x14ac:dyDescent="0.25">
      <c r="E219" t="s">
        <v>52</v>
      </c>
      <c r="F219" s="4" t="str">
        <f>"SERVICE"</f>
        <v>SERVICE</v>
      </c>
      <c r="G219" s="4">
        <v>75</v>
      </c>
      <c r="H219" t="str">
        <f>"SERVICE"</f>
        <v>SERVICE</v>
      </c>
    </row>
    <row r="220" spans="1:8" x14ac:dyDescent="0.25">
      <c r="E220" t="str">
        <f>"13013"</f>
        <v>13013</v>
      </c>
      <c r="F220" t="str">
        <f t="shared" ref="F220:F236" si="4">"SERVICE"</f>
        <v>SERVICE</v>
      </c>
      <c r="G220" s="4">
        <v>325</v>
      </c>
      <c r="H220" t="str">
        <f t="shared" ref="H220:H236" si="5">"SERVICE"</f>
        <v>SERVICE</v>
      </c>
    </row>
    <row r="221" spans="1:8" x14ac:dyDescent="0.25">
      <c r="E221" t="str">
        <f>"13059"</f>
        <v>13059</v>
      </c>
      <c r="F221" t="str">
        <f t="shared" si="4"/>
        <v>SERVICE</v>
      </c>
      <c r="G221" s="4">
        <v>325</v>
      </c>
      <c r="H221" t="str">
        <f t="shared" si="5"/>
        <v>SERVICE</v>
      </c>
    </row>
    <row r="222" spans="1:8" x14ac:dyDescent="0.25">
      <c r="E222" t="str">
        <f>"13118  11/01/2021"</f>
        <v>13118  11/01/2021</v>
      </c>
      <c r="F222" t="str">
        <f t="shared" si="4"/>
        <v>SERVICE</v>
      </c>
      <c r="G222" s="4">
        <v>250</v>
      </c>
      <c r="H222" t="str">
        <f t="shared" si="5"/>
        <v>SERVICE</v>
      </c>
    </row>
    <row r="223" spans="1:8" x14ac:dyDescent="0.25">
      <c r="E223" t="str">
        <f>"13174  10/13/2021"</f>
        <v>13174  10/13/2021</v>
      </c>
      <c r="F223" t="str">
        <f t="shared" si="4"/>
        <v>SERVICE</v>
      </c>
      <c r="G223" s="4">
        <v>26</v>
      </c>
      <c r="H223" t="str">
        <f t="shared" si="5"/>
        <v>SERVICE</v>
      </c>
    </row>
    <row r="224" spans="1:8" x14ac:dyDescent="0.25">
      <c r="E224" t="str">
        <f>"13186"</f>
        <v>13186</v>
      </c>
      <c r="F224" t="str">
        <f t="shared" si="4"/>
        <v>SERVICE</v>
      </c>
      <c r="G224" s="4">
        <v>325</v>
      </c>
      <c r="H224" t="str">
        <f t="shared" si="5"/>
        <v>SERVICE</v>
      </c>
    </row>
    <row r="225" spans="1:8" x14ac:dyDescent="0.25">
      <c r="E225" t="str">
        <f>"13211"</f>
        <v>13211</v>
      </c>
      <c r="F225" t="str">
        <f t="shared" si="4"/>
        <v>SERVICE</v>
      </c>
      <c r="G225" s="4">
        <v>325</v>
      </c>
      <c r="H225" t="str">
        <f t="shared" si="5"/>
        <v>SERVICE</v>
      </c>
    </row>
    <row r="226" spans="1:8" x14ac:dyDescent="0.25">
      <c r="E226" t="str">
        <f>"13226"</f>
        <v>13226</v>
      </c>
      <c r="F226" t="str">
        <f t="shared" si="4"/>
        <v>SERVICE</v>
      </c>
      <c r="G226" s="4">
        <v>149</v>
      </c>
      <c r="H226" t="str">
        <f t="shared" si="5"/>
        <v>SERVICE</v>
      </c>
    </row>
    <row r="227" spans="1:8" x14ac:dyDescent="0.25">
      <c r="E227" t="str">
        <f>"13226  11/02/2021"</f>
        <v>13226  11/02/2021</v>
      </c>
      <c r="F227" t="str">
        <f t="shared" si="4"/>
        <v>SERVICE</v>
      </c>
      <c r="G227" s="4">
        <v>100</v>
      </c>
      <c r="H227" t="str">
        <f t="shared" si="5"/>
        <v>SERVICE</v>
      </c>
    </row>
    <row r="228" spans="1:8" x14ac:dyDescent="0.25">
      <c r="E228" t="str">
        <f>"13363"</f>
        <v>13363</v>
      </c>
      <c r="F228" t="str">
        <f t="shared" si="4"/>
        <v>SERVICE</v>
      </c>
      <c r="G228" s="4">
        <v>475</v>
      </c>
      <c r="H228" t="str">
        <f t="shared" si="5"/>
        <v>SERVICE</v>
      </c>
    </row>
    <row r="229" spans="1:8" x14ac:dyDescent="0.25">
      <c r="E229" t="str">
        <f>"13364"</f>
        <v>13364</v>
      </c>
      <c r="F229" t="str">
        <f t="shared" si="4"/>
        <v>SERVICE</v>
      </c>
      <c r="G229" s="4">
        <v>325</v>
      </c>
      <c r="H229" t="str">
        <f t="shared" si="5"/>
        <v>SERVICE</v>
      </c>
    </row>
    <row r="230" spans="1:8" x14ac:dyDescent="0.25">
      <c r="E230" t="str">
        <f>"13388"</f>
        <v>13388</v>
      </c>
      <c r="F230" t="str">
        <f t="shared" si="4"/>
        <v>SERVICE</v>
      </c>
      <c r="G230" s="4">
        <v>325</v>
      </c>
      <c r="H230" t="str">
        <f t="shared" si="5"/>
        <v>SERVICE</v>
      </c>
    </row>
    <row r="231" spans="1:8" x14ac:dyDescent="0.25">
      <c r="E231" t="str">
        <f>"13412"</f>
        <v>13412</v>
      </c>
      <c r="F231" t="str">
        <f t="shared" si="4"/>
        <v>SERVICE</v>
      </c>
      <c r="G231" s="4">
        <v>900</v>
      </c>
      <c r="H231" t="str">
        <f t="shared" si="5"/>
        <v>SERVICE</v>
      </c>
    </row>
    <row r="232" spans="1:8" x14ac:dyDescent="0.25">
      <c r="E232" t="str">
        <f>"13492"</f>
        <v>13492</v>
      </c>
      <c r="F232" t="str">
        <f t="shared" si="4"/>
        <v>SERVICE</v>
      </c>
      <c r="G232" s="4">
        <v>250</v>
      </c>
      <c r="H232" t="str">
        <f t="shared" si="5"/>
        <v>SERVICE</v>
      </c>
    </row>
    <row r="233" spans="1:8" x14ac:dyDescent="0.25">
      <c r="E233" t="str">
        <f>"13547"</f>
        <v>13547</v>
      </c>
      <c r="F233" t="str">
        <f t="shared" si="4"/>
        <v>SERVICE</v>
      </c>
      <c r="G233" s="4">
        <v>325</v>
      </c>
      <c r="H233" t="str">
        <f t="shared" si="5"/>
        <v>SERVICE</v>
      </c>
    </row>
    <row r="234" spans="1:8" x14ac:dyDescent="0.25">
      <c r="E234" t="str">
        <f>"13582  10/28/2021"</f>
        <v>13582  10/28/2021</v>
      </c>
      <c r="F234" t="str">
        <f t="shared" si="4"/>
        <v>SERVICE</v>
      </c>
      <c r="G234" s="4">
        <v>25</v>
      </c>
      <c r="H234" t="str">
        <f t="shared" si="5"/>
        <v>SERVICE</v>
      </c>
    </row>
    <row r="235" spans="1:8" x14ac:dyDescent="0.25">
      <c r="E235" t="str">
        <f>"13606"</f>
        <v>13606</v>
      </c>
      <c r="F235" t="str">
        <f t="shared" si="4"/>
        <v>SERVICE</v>
      </c>
      <c r="G235" s="4">
        <v>69</v>
      </c>
      <c r="H235" t="str">
        <f t="shared" si="5"/>
        <v>SERVICE</v>
      </c>
    </row>
    <row r="236" spans="1:8" x14ac:dyDescent="0.25">
      <c r="E236" t="str">
        <f>"13666  10/27/2021"</f>
        <v>13666  10/27/2021</v>
      </c>
      <c r="F236" t="str">
        <f t="shared" si="4"/>
        <v>SERVICE</v>
      </c>
      <c r="G236" s="4">
        <v>50</v>
      </c>
      <c r="H236" t="str">
        <f t="shared" si="5"/>
        <v>SERVICE</v>
      </c>
    </row>
    <row r="237" spans="1:8" x14ac:dyDescent="0.25">
      <c r="E237" t="str">
        <f>"13717"</f>
        <v>13717</v>
      </c>
      <c r="F237" t="str">
        <f>"ABST FEE"</f>
        <v>ABST FEE</v>
      </c>
      <c r="G237" s="4">
        <v>50</v>
      </c>
      <c r="H237" t="str">
        <f>"ABST FEE"</f>
        <v>ABST FEE</v>
      </c>
    </row>
    <row r="238" spans="1:8" x14ac:dyDescent="0.25">
      <c r="E238" t="str">
        <f>"13735"</f>
        <v>13735</v>
      </c>
      <c r="F238" t="str">
        <f>"SERVICE"</f>
        <v>SERVICE</v>
      </c>
      <c r="G238" s="4">
        <v>75</v>
      </c>
      <c r="H238" t="str">
        <f>"SERVICE"</f>
        <v>SERVICE</v>
      </c>
    </row>
    <row r="239" spans="1:8" x14ac:dyDescent="0.25">
      <c r="E239" t="str">
        <f>"13742"</f>
        <v>13742</v>
      </c>
      <c r="F239" t="str">
        <f>"SERVICE"</f>
        <v>SERVICE</v>
      </c>
      <c r="G239" s="4">
        <v>29</v>
      </c>
      <c r="H239" t="str">
        <f>"SERVICE"</f>
        <v>SERVICE</v>
      </c>
    </row>
    <row r="240" spans="1:8" x14ac:dyDescent="0.25">
      <c r="A240" t="s">
        <v>53</v>
      </c>
      <c r="B240">
        <v>5586</v>
      </c>
      <c r="C240" s="4">
        <v>870.4</v>
      </c>
      <c r="D240" s="1">
        <v>44558</v>
      </c>
      <c r="E240" t="str">
        <f>"202112177859"</f>
        <v>202112177859</v>
      </c>
      <c r="F240" t="str">
        <f>"ACCT#BC01 / 11302021"</f>
        <v>ACCT#BC01 / 11302021</v>
      </c>
      <c r="G240" s="4">
        <v>108</v>
      </c>
      <c r="H240" t="str">
        <f t="shared" ref="H240:H245" si="6">"ACCT#BC01 / 11302021"</f>
        <v>ACCT#BC01 / 11302021</v>
      </c>
    </row>
    <row r="241" spans="1:8" x14ac:dyDescent="0.25">
      <c r="E241" t="str">
        <f>""</f>
        <v/>
      </c>
      <c r="F241" t="str">
        <f>""</f>
        <v/>
      </c>
      <c r="G241" s="4">
        <v>38</v>
      </c>
      <c r="H241" t="str">
        <f t="shared" si="6"/>
        <v>ACCT#BC01 / 11302021</v>
      </c>
    </row>
    <row r="242" spans="1:8" x14ac:dyDescent="0.25">
      <c r="E242" t="str">
        <f>""</f>
        <v/>
      </c>
      <c r="F242" t="str">
        <f>""</f>
        <v/>
      </c>
      <c r="G242" s="4">
        <v>79.900000000000006</v>
      </c>
      <c r="H242" t="str">
        <f t="shared" si="6"/>
        <v>ACCT#BC01 / 11302021</v>
      </c>
    </row>
    <row r="243" spans="1:8" x14ac:dyDescent="0.25">
      <c r="E243" t="str">
        <f>""</f>
        <v/>
      </c>
      <c r="F243" t="str">
        <f>""</f>
        <v/>
      </c>
      <c r="G243" s="4">
        <v>29</v>
      </c>
      <c r="H243" t="str">
        <f t="shared" si="6"/>
        <v>ACCT#BC01 / 11302021</v>
      </c>
    </row>
    <row r="244" spans="1:8" x14ac:dyDescent="0.25">
      <c r="E244" t="str">
        <f>""</f>
        <v/>
      </c>
      <c r="F244" t="str">
        <f>""</f>
        <v/>
      </c>
      <c r="G244" s="4">
        <v>597.5</v>
      </c>
      <c r="H244" t="str">
        <f t="shared" si="6"/>
        <v>ACCT#BC01 / 11302021</v>
      </c>
    </row>
    <row r="245" spans="1:8" x14ac:dyDescent="0.25">
      <c r="E245" t="str">
        <f>""</f>
        <v/>
      </c>
      <c r="F245" t="str">
        <f>""</f>
        <v/>
      </c>
      <c r="G245" s="4">
        <v>18</v>
      </c>
      <c r="H245" t="str">
        <f t="shared" si="6"/>
        <v>ACCT#BC01 / 11302021</v>
      </c>
    </row>
    <row r="246" spans="1:8" x14ac:dyDescent="0.25">
      <c r="A246" t="s">
        <v>54</v>
      </c>
      <c r="B246">
        <v>5507</v>
      </c>
      <c r="C246" s="4">
        <v>5185.6899999999996</v>
      </c>
      <c r="D246" s="1">
        <v>44544</v>
      </c>
      <c r="E246" t="str">
        <f>"202112027617"</f>
        <v>202112027617</v>
      </c>
      <c r="F246" t="str">
        <f>"GRANT REIMBURSEMENT"</f>
        <v>GRANT REIMBURSEMENT</v>
      </c>
      <c r="G246" s="4">
        <v>5185.6899999999996</v>
      </c>
      <c r="H246" t="str">
        <f>"GRANT REIMBURSEMENT"</f>
        <v>GRANT REIMBURSEMENT</v>
      </c>
    </row>
    <row r="247" spans="1:8" x14ac:dyDescent="0.25">
      <c r="A247" t="s">
        <v>55</v>
      </c>
      <c r="B247">
        <v>5534</v>
      </c>
      <c r="C247" s="4">
        <v>270.75</v>
      </c>
      <c r="D247" s="1">
        <v>44544</v>
      </c>
      <c r="E247" t="str">
        <f>"202112027610"</f>
        <v>202112027610</v>
      </c>
      <c r="F247" t="str">
        <f>"VEHICLE REGISTRATIONS"</f>
        <v>VEHICLE REGISTRATIONS</v>
      </c>
      <c r="G247" s="4">
        <v>37.5</v>
      </c>
      <c r="H247" t="str">
        <f t="shared" ref="H247:H253" si="7">"VEHICLE REGISTRATIONS"</f>
        <v>VEHICLE REGISTRATIONS</v>
      </c>
    </row>
    <row r="248" spans="1:8" x14ac:dyDescent="0.25">
      <c r="E248" t="str">
        <f>""</f>
        <v/>
      </c>
      <c r="F248" t="str">
        <f>""</f>
        <v/>
      </c>
      <c r="G248" s="4">
        <v>44</v>
      </c>
      <c r="H248" t="str">
        <f t="shared" si="7"/>
        <v>VEHICLE REGISTRATIONS</v>
      </c>
    </row>
    <row r="249" spans="1:8" x14ac:dyDescent="0.25">
      <c r="E249" t="str">
        <f>""</f>
        <v/>
      </c>
      <c r="F249" t="str">
        <f>""</f>
        <v/>
      </c>
      <c r="G249" s="4">
        <v>15</v>
      </c>
      <c r="H249" t="str">
        <f t="shared" si="7"/>
        <v>VEHICLE REGISTRATIONS</v>
      </c>
    </row>
    <row r="250" spans="1:8" x14ac:dyDescent="0.25">
      <c r="E250" t="str">
        <f>""</f>
        <v/>
      </c>
      <c r="F250" t="str">
        <f>""</f>
        <v/>
      </c>
      <c r="G250" s="4">
        <v>82.5</v>
      </c>
      <c r="H250" t="str">
        <f t="shared" si="7"/>
        <v>VEHICLE REGISTRATIONS</v>
      </c>
    </row>
    <row r="251" spans="1:8" x14ac:dyDescent="0.25">
      <c r="E251" t="str">
        <f>"202112067684"</f>
        <v>202112067684</v>
      </c>
      <c r="F251" t="str">
        <f>"VEHICLE REGISTRATIONS"</f>
        <v>VEHICLE REGISTRATIONS</v>
      </c>
      <c r="G251" s="4">
        <v>7.5</v>
      </c>
      <c r="H251" t="str">
        <f t="shared" si="7"/>
        <v>VEHICLE REGISTRATIONS</v>
      </c>
    </row>
    <row r="252" spans="1:8" x14ac:dyDescent="0.25">
      <c r="E252" t="str">
        <f>""</f>
        <v/>
      </c>
      <c r="F252" t="str">
        <f>""</f>
        <v/>
      </c>
      <c r="G252" s="4">
        <v>37.5</v>
      </c>
      <c r="H252" t="str">
        <f t="shared" si="7"/>
        <v>VEHICLE REGISTRATIONS</v>
      </c>
    </row>
    <row r="253" spans="1:8" x14ac:dyDescent="0.25">
      <c r="E253" t="str">
        <f>""</f>
        <v/>
      </c>
      <c r="F253" t="str">
        <f>""</f>
        <v/>
      </c>
      <c r="G253" s="4">
        <v>46.75</v>
      </c>
      <c r="H253" t="str">
        <f t="shared" si="7"/>
        <v>VEHICLE REGISTRATIONS</v>
      </c>
    </row>
    <row r="254" spans="1:8" x14ac:dyDescent="0.25">
      <c r="A254" t="s">
        <v>54</v>
      </c>
      <c r="B254">
        <v>5579</v>
      </c>
      <c r="C254" s="4">
        <v>96708.32</v>
      </c>
      <c r="D254" s="1">
        <v>44558</v>
      </c>
      <c r="E254" t="str">
        <f>"202112197873"</f>
        <v>202112197873</v>
      </c>
      <c r="F254" t="str">
        <f>"GRANT REIMBURSEMENT"</f>
        <v>GRANT REIMBURSEMENT</v>
      </c>
      <c r="G254" s="4">
        <v>79500</v>
      </c>
      <c r="H254" t="str">
        <f>"GRANT REIMBURSEMENT"</f>
        <v>GRANT REIMBURSEMENT</v>
      </c>
    </row>
    <row r="255" spans="1:8" x14ac:dyDescent="0.25">
      <c r="E255" t="str">
        <f>"202112197874"</f>
        <v>202112197874</v>
      </c>
      <c r="F255" t="str">
        <f>"GRANT REIMBURSEMENT"</f>
        <v>GRANT REIMBURSEMENT</v>
      </c>
      <c r="G255" s="4">
        <v>17208.32</v>
      </c>
      <c r="H255" t="str">
        <f>"GRANT REIMBURSEMENT"</f>
        <v>GRANT REIMBURSEMENT</v>
      </c>
    </row>
    <row r="256" spans="1:8" x14ac:dyDescent="0.25">
      <c r="A256" t="s">
        <v>55</v>
      </c>
      <c r="B256">
        <v>5593</v>
      </c>
      <c r="C256" s="4">
        <v>60</v>
      </c>
      <c r="D256" s="1">
        <v>44558</v>
      </c>
      <c r="E256" t="str">
        <f>"202112177855"</f>
        <v>202112177855</v>
      </c>
      <c r="F256" t="str">
        <f>"VEHICLE REGISTRATIONS"</f>
        <v>VEHICLE REGISTRATIONS</v>
      </c>
      <c r="G256" s="4">
        <v>7.5</v>
      </c>
      <c r="H256" t="str">
        <f>"VEHICLE REGISTRATIONS"</f>
        <v>VEHICLE REGISTRATIONS</v>
      </c>
    </row>
    <row r="257" spans="1:8" x14ac:dyDescent="0.25">
      <c r="E257" t="str">
        <f>""</f>
        <v/>
      </c>
      <c r="F257" t="str">
        <f>""</f>
        <v/>
      </c>
      <c r="G257" s="4">
        <v>52.5</v>
      </c>
      <c r="H257" t="str">
        <f>"VEHICLE REGISTRATIONS"</f>
        <v>VEHICLE REGISTRATIONS</v>
      </c>
    </row>
    <row r="258" spans="1:8" x14ac:dyDescent="0.25">
      <c r="A258" t="s">
        <v>55</v>
      </c>
      <c r="B258">
        <v>138184</v>
      </c>
      <c r="C258" s="4">
        <v>113.19</v>
      </c>
      <c r="D258" s="1">
        <v>44543</v>
      </c>
      <c r="E258" t="str">
        <f>"202112087712"</f>
        <v>202112087712</v>
      </c>
      <c r="F258" t="str">
        <f>"REIMBURSEMENT - DEPOSIT SLIPS"</f>
        <v>REIMBURSEMENT - DEPOSIT SLIPS</v>
      </c>
      <c r="G258" s="4">
        <v>113.19</v>
      </c>
      <c r="H258" t="str">
        <f>"REIMBURSEMENT - DEPOSIT SLIPS"</f>
        <v>REIMBURSEMENT - DEPOSIT SLIPS</v>
      </c>
    </row>
    <row r="259" spans="1:8" x14ac:dyDescent="0.25">
      <c r="A259" t="s">
        <v>56</v>
      </c>
      <c r="B259">
        <v>138290</v>
      </c>
      <c r="C259" s="4">
        <v>120</v>
      </c>
      <c r="D259" s="1">
        <v>44543</v>
      </c>
      <c r="E259" t="str">
        <f>"202112087713"</f>
        <v>202112087713</v>
      </c>
      <c r="F259" t="str">
        <f>"LPHCP RECORDING FEES"</f>
        <v>LPHCP RECORDING FEES</v>
      </c>
      <c r="G259" s="4">
        <v>120</v>
      </c>
      <c r="H259" t="str">
        <f>"LPHCP RECORDING FEES"</f>
        <v>LPHCP RECORDING FEES</v>
      </c>
    </row>
    <row r="260" spans="1:8" x14ac:dyDescent="0.25">
      <c r="A260" t="s">
        <v>38</v>
      </c>
      <c r="B260">
        <v>138375</v>
      </c>
      <c r="C260" s="4">
        <v>162.87</v>
      </c>
      <c r="D260" s="1">
        <v>44557</v>
      </c>
      <c r="E260" t="str">
        <f>"202112207933"</f>
        <v>202112207933</v>
      </c>
      <c r="F260" t="str">
        <f>"INDIGENT HEALTH"</f>
        <v>INDIGENT HEALTH</v>
      </c>
      <c r="G260" s="4">
        <v>162.87</v>
      </c>
      <c r="H260" t="str">
        <f>"INDIGENT HEALTH"</f>
        <v>INDIGENT HEALTH</v>
      </c>
    </row>
    <row r="261" spans="1:8" x14ac:dyDescent="0.25">
      <c r="A261" t="s">
        <v>57</v>
      </c>
      <c r="B261">
        <v>5560</v>
      </c>
      <c r="C261" s="4">
        <v>5265</v>
      </c>
      <c r="D261" s="1">
        <v>44558</v>
      </c>
      <c r="E261" t="str">
        <f>"2021242"</f>
        <v>2021242</v>
      </c>
      <c r="F261" t="str">
        <f>"TRANSPORT - S.C. VANDERVORT"</f>
        <v>TRANSPORT - S.C. VANDERVORT</v>
      </c>
      <c r="G261" s="4">
        <v>640</v>
      </c>
      <c r="H261" t="str">
        <f>"TRANSPORT - S.C. VANDERVORT"</f>
        <v>TRANSPORT - S.C. VANDERVORT</v>
      </c>
    </row>
    <row r="262" spans="1:8" x14ac:dyDescent="0.25">
      <c r="E262" t="str">
        <f>"2021243"</f>
        <v>2021243</v>
      </c>
      <c r="F262" t="str">
        <f>"TRANSPORT - C.L. PARMR"</f>
        <v>TRANSPORT - C.L. PARMR</v>
      </c>
      <c r="G262" s="4">
        <v>640</v>
      </c>
      <c r="H262" t="str">
        <f>"TRANSPORT - C.L. PARMR"</f>
        <v>TRANSPORT - C.L. PARMR</v>
      </c>
    </row>
    <row r="263" spans="1:8" x14ac:dyDescent="0.25">
      <c r="E263" t="str">
        <f>"2021246"</f>
        <v>2021246</v>
      </c>
      <c r="F263" t="str">
        <f>"TRANSPORT - A. HISER"</f>
        <v>TRANSPORT - A. HISER</v>
      </c>
      <c r="G263" s="4">
        <v>640</v>
      </c>
      <c r="H263" t="str">
        <f>"TRANSPORT - A. HISER"</f>
        <v>TRANSPORT - A. HISER</v>
      </c>
    </row>
    <row r="264" spans="1:8" x14ac:dyDescent="0.25">
      <c r="E264" t="str">
        <f>"2021249"</f>
        <v>2021249</v>
      </c>
      <c r="F264" t="str">
        <f>"TRANSPORT - R. FOLKERTS"</f>
        <v>TRANSPORT - R. FOLKERTS</v>
      </c>
      <c r="G264" s="4">
        <v>295</v>
      </c>
      <c r="H264" t="str">
        <f>"TRANSPORT - R. FOLKERTS"</f>
        <v>TRANSPORT - R. FOLKERTS</v>
      </c>
    </row>
    <row r="265" spans="1:8" x14ac:dyDescent="0.25">
      <c r="E265" t="str">
        <f>"2021252"</f>
        <v>2021252</v>
      </c>
      <c r="F265" t="str">
        <f>"TRANSPORT - R. WILSON"</f>
        <v>TRANSPORT - R. WILSON</v>
      </c>
      <c r="G265" s="4">
        <v>390</v>
      </c>
      <c r="H265" t="str">
        <f>"TRANSPORT - R. WILSON"</f>
        <v>TRANSPORT - R. WILSON</v>
      </c>
    </row>
    <row r="266" spans="1:8" x14ac:dyDescent="0.25">
      <c r="E266" t="str">
        <f>"2021253"</f>
        <v>2021253</v>
      </c>
      <c r="F266" t="str">
        <f>"TRANSPORT - C. THOMAS"</f>
        <v>TRANSPORT - C. THOMAS</v>
      </c>
      <c r="G266" s="4">
        <v>390</v>
      </c>
      <c r="H266" t="str">
        <f>"TRANSPORT - C. THOMAS"</f>
        <v>TRANSPORT - C. THOMAS</v>
      </c>
    </row>
    <row r="267" spans="1:8" x14ac:dyDescent="0.25">
      <c r="E267" t="str">
        <f>"2021254"</f>
        <v>2021254</v>
      </c>
      <c r="F267" t="str">
        <f>"TRANSPORT - DELFINA RODRIGUEZ"</f>
        <v>TRANSPORT - DELFINA RODRIGUEZ</v>
      </c>
      <c r="G267" s="4">
        <v>695</v>
      </c>
      <c r="H267" t="str">
        <f>"TRANSPORT - DELFINA RODRIGUEZ"</f>
        <v>TRANSPORT - DELFINA RODRIGUEZ</v>
      </c>
    </row>
    <row r="268" spans="1:8" x14ac:dyDescent="0.25">
      <c r="E268" t="str">
        <f>"2021255"</f>
        <v>2021255</v>
      </c>
      <c r="F268" t="str">
        <f>"TRANSPORT - L.D. GARCIA CABALL"</f>
        <v>TRANSPORT - L.D. GARCIA CABALL</v>
      </c>
      <c r="G268" s="4">
        <v>640</v>
      </c>
      <c r="H268" t="str">
        <f>"TRANSPORT - L.D. GARCIA CABALL"</f>
        <v>TRANSPORT - L.D. GARCIA CABALL</v>
      </c>
    </row>
    <row r="269" spans="1:8" x14ac:dyDescent="0.25">
      <c r="E269" t="str">
        <f>"2021256"</f>
        <v>2021256</v>
      </c>
      <c r="F269" t="str">
        <f>"TRANSPORT - T. REDFORD"</f>
        <v>TRANSPORT - T. REDFORD</v>
      </c>
      <c r="G269" s="4">
        <v>295</v>
      </c>
      <c r="H269" t="str">
        <f>"TRANSPORT - T. REDFORD"</f>
        <v>TRANSPORT - T. REDFORD</v>
      </c>
    </row>
    <row r="270" spans="1:8" x14ac:dyDescent="0.25">
      <c r="E270" t="str">
        <f>"2021261"</f>
        <v>2021261</v>
      </c>
      <c r="F270" t="str">
        <f>"TRANSPORT - M. DAVENPORT"</f>
        <v>TRANSPORT - M. DAVENPORT</v>
      </c>
      <c r="G270" s="4">
        <v>640</v>
      </c>
      <c r="H270" t="str">
        <f>"TRANSPORT - M. DAVENPORT"</f>
        <v>TRANSPORT - M. DAVENPORT</v>
      </c>
    </row>
    <row r="271" spans="1:8" x14ac:dyDescent="0.25">
      <c r="A271" t="s">
        <v>58</v>
      </c>
      <c r="B271">
        <v>138185</v>
      </c>
      <c r="C271" s="4">
        <v>302.13</v>
      </c>
      <c r="D271" s="1">
        <v>44543</v>
      </c>
      <c r="E271" t="str">
        <f>"202112087738"</f>
        <v>202112087738</v>
      </c>
      <c r="F271" t="str">
        <f>"INV 1198543"</f>
        <v>INV 1198543</v>
      </c>
      <c r="G271" s="4">
        <v>302.13</v>
      </c>
      <c r="H271" t="str">
        <f>"INV 1198543"</f>
        <v>INV 1198543</v>
      </c>
    </row>
    <row r="272" spans="1:8" x14ac:dyDescent="0.25">
      <c r="A272" t="s">
        <v>59</v>
      </c>
      <c r="B272">
        <v>5476</v>
      </c>
      <c r="C272" s="4">
        <v>1562.4</v>
      </c>
      <c r="D272" s="1">
        <v>44544</v>
      </c>
      <c r="E272" t="str">
        <f>"202112027623"</f>
        <v>202112027623</v>
      </c>
      <c r="F272" t="str">
        <f>"BACKGROUND SVCS/MILEAGE/NOVEMB"</f>
        <v>BACKGROUND SVCS/MILEAGE/NOVEMB</v>
      </c>
      <c r="G272" s="4">
        <v>105</v>
      </c>
      <c r="H272" t="str">
        <f>"BACKGROUND SVCS/MILEAGE/NOVEMB"</f>
        <v>BACKGROUND SVCS/MILEAGE/NOVEMB</v>
      </c>
    </row>
    <row r="273" spans="1:8" x14ac:dyDescent="0.25">
      <c r="E273" t="str">
        <f>"202112077695"</f>
        <v>202112077695</v>
      </c>
      <c r="F273" t="str">
        <f>"NOVEMBER SERVICES"</f>
        <v>NOVEMBER SERVICES</v>
      </c>
      <c r="G273" s="4">
        <v>564.9</v>
      </c>
      <c r="H273" t="str">
        <f>"NOVEMBER SERV (LE)"</f>
        <v>NOVEMBER SERV (LE)</v>
      </c>
    </row>
    <row r="274" spans="1:8" x14ac:dyDescent="0.25">
      <c r="E274" t="str">
        <f>""</f>
        <v/>
      </c>
      <c r="F274" t="str">
        <f>""</f>
        <v/>
      </c>
      <c r="G274" s="4">
        <v>892.5</v>
      </c>
      <c r="H274" t="str">
        <f>"NOVEMBER SERV (JAIL"</f>
        <v>NOVEMBER SERV (JAIL</v>
      </c>
    </row>
    <row r="275" spans="1:8" x14ac:dyDescent="0.25">
      <c r="A275" t="s">
        <v>60</v>
      </c>
      <c r="B275">
        <v>138186</v>
      </c>
      <c r="C275" s="4">
        <v>3033.42</v>
      </c>
      <c r="D275" s="1">
        <v>44543</v>
      </c>
      <c r="E275" t="str">
        <f>"76207172"</f>
        <v>76207172</v>
      </c>
      <c r="F275" t="str">
        <f>"INV 76207172  76215624  7"</f>
        <v>INV 76207172  76215624  7</v>
      </c>
      <c r="G275" s="4">
        <v>726.62</v>
      </c>
      <c r="H275" t="str">
        <f>"INV 76207172"</f>
        <v>INV 76207172</v>
      </c>
    </row>
    <row r="276" spans="1:8" x14ac:dyDescent="0.25">
      <c r="E276" t="str">
        <f>""</f>
        <v/>
      </c>
      <c r="F276" t="str">
        <f>""</f>
        <v/>
      </c>
      <c r="G276" s="4">
        <v>1281.32</v>
      </c>
      <c r="H276" t="str">
        <f>"INV 76215624"</f>
        <v>INV 76215624</v>
      </c>
    </row>
    <row r="277" spans="1:8" x14ac:dyDescent="0.25">
      <c r="E277" t="str">
        <f>""</f>
        <v/>
      </c>
      <c r="F277" t="str">
        <f>""</f>
        <v/>
      </c>
      <c r="G277" s="4">
        <v>1025.48</v>
      </c>
      <c r="H277" t="str">
        <f>"INV 76223609"</f>
        <v>INV 76223609</v>
      </c>
    </row>
    <row r="278" spans="1:8" x14ac:dyDescent="0.25">
      <c r="A278" t="s">
        <v>60</v>
      </c>
      <c r="B278">
        <v>138376</v>
      </c>
      <c r="C278" s="4">
        <v>1578.15</v>
      </c>
      <c r="D278" s="1">
        <v>44557</v>
      </c>
      <c r="E278" t="str">
        <f>"75235257"</f>
        <v>75235257</v>
      </c>
      <c r="F278" t="str">
        <f>"INV 75235257"</f>
        <v>INV 75235257</v>
      </c>
      <c r="G278" s="4">
        <v>1578.15</v>
      </c>
      <c r="H278" t="str">
        <f>"INV 75235257"</f>
        <v>INV 75235257</v>
      </c>
    </row>
    <row r="279" spans="1:8" x14ac:dyDescent="0.25">
      <c r="A279" t="s">
        <v>61</v>
      </c>
      <c r="B279">
        <v>138187</v>
      </c>
      <c r="C279" s="4">
        <v>491.89</v>
      </c>
      <c r="D279" s="1">
        <v>44543</v>
      </c>
      <c r="E279" t="str">
        <f>"415597"</f>
        <v>415597</v>
      </c>
      <c r="F279" t="str">
        <f>"ACCT#7110/PCT#3"</f>
        <v>ACCT#7110/PCT#3</v>
      </c>
      <c r="G279" s="4">
        <v>491.89</v>
      </c>
      <c r="H279" t="str">
        <f>"ACCT#7110/PCT#3"</f>
        <v>ACCT#7110/PCT#3</v>
      </c>
    </row>
    <row r="280" spans="1:8" x14ac:dyDescent="0.25">
      <c r="A280" t="s">
        <v>62</v>
      </c>
      <c r="B280">
        <v>5535</v>
      </c>
      <c r="C280" s="4">
        <v>2315.29</v>
      </c>
      <c r="D280" s="1">
        <v>44544</v>
      </c>
      <c r="E280" t="str">
        <f>"25532"</f>
        <v>25532</v>
      </c>
      <c r="F280" t="str">
        <f>"INV 25532"</f>
        <v>INV 25532</v>
      </c>
      <c r="G280" s="4">
        <v>2315.29</v>
      </c>
      <c r="H280" t="str">
        <f>"INV 25532"</f>
        <v>INV 25532</v>
      </c>
    </row>
    <row r="281" spans="1:8" x14ac:dyDescent="0.25">
      <c r="A281" t="s">
        <v>63</v>
      </c>
      <c r="B281">
        <v>138188</v>
      </c>
      <c r="C281" s="4">
        <v>7519.68</v>
      </c>
      <c r="D281" s="1">
        <v>44543</v>
      </c>
      <c r="E281" t="str">
        <f>"S1286249"</f>
        <v>S1286249</v>
      </c>
      <c r="F281" t="str">
        <f>"CUST#C27986/PCT#4"</f>
        <v>CUST#C27986/PCT#4</v>
      </c>
      <c r="G281" s="4">
        <v>7519.68</v>
      </c>
      <c r="H281" t="str">
        <f>"CUST#C27986/PCT#4"</f>
        <v>CUST#C27986/PCT#4</v>
      </c>
    </row>
    <row r="282" spans="1:8" x14ac:dyDescent="0.25">
      <c r="A282" t="s">
        <v>63</v>
      </c>
      <c r="B282">
        <v>138377</v>
      </c>
      <c r="C282" s="4">
        <v>4885.83</v>
      </c>
      <c r="D282" s="1">
        <v>44557</v>
      </c>
      <c r="E282" t="str">
        <f>"S1287042"</f>
        <v>S1287042</v>
      </c>
      <c r="F282" t="str">
        <f>"CUST ID:C27986/PCT#4"</f>
        <v>CUST ID:C27986/PCT#4</v>
      </c>
      <c r="G282" s="4">
        <v>4885.83</v>
      </c>
      <c r="H282" t="str">
        <f>"CUST ID:C27986/PCT#4"</f>
        <v>CUST ID:C27986/PCT#4</v>
      </c>
    </row>
    <row r="283" spans="1:8" x14ac:dyDescent="0.25">
      <c r="A283" t="s">
        <v>64</v>
      </c>
      <c r="B283">
        <v>5572</v>
      </c>
      <c r="C283" s="4">
        <v>4693.9399999999996</v>
      </c>
      <c r="D283" s="1">
        <v>44558</v>
      </c>
      <c r="E283" t="str">
        <f>"6363"</f>
        <v>6363</v>
      </c>
      <c r="F283" t="str">
        <f>"2012 FRHT/PCT#4"</f>
        <v>2012 FRHT/PCT#4</v>
      </c>
      <c r="G283" s="4">
        <v>4017.95</v>
      </c>
      <c r="H283" t="str">
        <f>"2012 FRHT/PCT#4"</f>
        <v>2012 FRHT/PCT#4</v>
      </c>
    </row>
    <row r="284" spans="1:8" x14ac:dyDescent="0.25">
      <c r="E284" t="str">
        <f>"6518"</f>
        <v>6518</v>
      </c>
      <c r="F284" t="str">
        <f>"SERVICE / PCT#1"</f>
        <v>SERVICE / PCT#1</v>
      </c>
      <c r="G284" s="4">
        <v>220</v>
      </c>
      <c r="H284" t="str">
        <f>"SERVICE / PCT#1"</f>
        <v>SERVICE / PCT#1</v>
      </c>
    </row>
    <row r="285" spans="1:8" x14ac:dyDescent="0.25">
      <c r="E285" t="str">
        <f>"6546"</f>
        <v>6546</v>
      </c>
      <c r="F285" t="str">
        <f>"SERVICE / PCT #1"</f>
        <v>SERVICE / PCT #1</v>
      </c>
      <c r="G285" s="4">
        <v>455.99</v>
      </c>
      <c r="H285" t="str">
        <f>"SERVICE / PCT #1"</f>
        <v>SERVICE / PCT #1</v>
      </c>
    </row>
    <row r="286" spans="1:8" x14ac:dyDescent="0.25">
      <c r="A286" t="s">
        <v>65</v>
      </c>
      <c r="B286">
        <v>5477</v>
      </c>
      <c r="C286" s="4">
        <v>382.78</v>
      </c>
      <c r="D286" s="1">
        <v>44544</v>
      </c>
      <c r="E286" t="str">
        <f>"21102"</f>
        <v>21102</v>
      </c>
      <c r="F286" t="str">
        <f>"INTERPRET 423-6396"</f>
        <v>INTERPRET 423-6396</v>
      </c>
      <c r="G286" s="4">
        <v>382.78</v>
      </c>
      <c r="H286" t="str">
        <f>"INTERPRET 423-6396"</f>
        <v>INTERPRET 423-6396</v>
      </c>
    </row>
    <row r="287" spans="1:8" x14ac:dyDescent="0.25">
      <c r="A287" t="s">
        <v>66</v>
      </c>
      <c r="B287">
        <v>138189</v>
      </c>
      <c r="C287" s="4">
        <v>899.04</v>
      </c>
      <c r="D287" s="1">
        <v>44543</v>
      </c>
      <c r="E287" t="str">
        <f>"84048401451"</f>
        <v>84048401451</v>
      </c>
      <c r="F287" t="str">
        <f>"INV 84048401451  84048401"</f>
        <v>INV 84048401451  84048401</v>
      </c>
      <c r="G287" s="4">
        <v>313.8</v>
      </c>
      <c r="H287" t="str">
        <f>"INV 84048401451"</f>
        <v>INV 84048401451</v>
      </c>
    </row>
    <row r="288" spans="1:8" x14ac:dyDescent="0.25">
      <c r="E288" t="str">
        <f>""</f>
        <v/>
      </c>
      <c r="F288" t="str">
        <f>""</f>
        <v/>
      </c>
      <c r="G288" s="4">
        <v>271.44</v>
      </c>
      <c r="H288" t="str">
        <f>"INV 84048401518"</f>
        <v>INV 84048401518</v>
      </c>
    </row>
    <row r="289" spans="1:8" x14ac:dyDescent="0.25">
      <c r="E289" t="str">
        <f>""</f>
        <v/>
      </c>
      <c r="F289" t="str">
        <f>""</f>
        <v/>
      </c>
      <c r="G289" s="4">
        <v>313.8</v>
      </c>
      <c r="H289" t="str">
        <f>"INV 84048401565"</f>
        <v>INV 84048401565</v>
      </c>
    </row>
    <row r="290" spans="1:8" x14ac:dyDescent="0.25">
      <c r="A290" t="s">
        <v>66</v>
      </c>
      <c r="B290">
        <v>138378</v>
      </c>
      <c r="C290" s="4">
        <v>332.52</v>
      </c>
      <c r="D290" s="1">
        <v>44557</v>
      </c>
      <c r="E290" t="str">
        <f>"84048401641"</f>
        <v>84048401641</v>
      </c>
      <c r="F290" t="str">
        <f>"INV 84048401641"</f>
        <v>INV 84048401641</v>
      </c>
      <c r="G290" s="4">
        <v>332.52</v>
      </c>
      <c r="H290" t="str">
        <f>"INV 84048401641"</f>
        <v>INV 84048401641</v>
      </c>
    </row>
    <row r="291" spans="1:8" x14ac:dyDescent="0.25">
      <c r="A291" t="s">
        <v>67</v>
      </c>
      <c r="B291">
        <v>138190</v>
      </c>
      <c r="C291" s="4">
        <v>2104.8200000000002</v>
      </c>
      <c r="D291" s="1">
        <v>44543</v>
      </c>
      <c r="E291" t="str">
        <f>"2111091076"</f>
        <v>2111091076</v>
      </c>
      <c r="F291" t="str">
        <f>"INV 2111091076/2111091077"</f>
        <v>INV 2111091076/2111091077</v>
      </c>
      <c r="G291" s="4">
        <v>1800</v>
      </c>
      <c r="H291" t="str">
        <f>"INV 2111091076"</f>
        <v>INV 2111091076</v>
      </c>
    </row>
    <row r="292" spans="1:8" x14ac:dyDescent="0.25">
      <c r="E292" t="str">
        <f>""</f>
        <v/>
      </c>
      <c r="F292" t="str">
        <f>""</f>
        <v/>
      </c>
      <c r="G292" s="4">
        <v>165</v>
      </c>
      <c r="H292" t="str">
        <f>"INV 2111091076"</f>
        <v>INV 2111091076</v>
      </c>
    </row>
    <row r="293" spans="1:8" x14ac:dyDescent="0.25">
      <c r="E293" t="str">
        <f>""</f>
        <v/>
      </c>
      <c r="F293" t="str">
        <f>""</f>
        <v/>
      </c>
      <c r="G293" s="4">
        <v>-191</v>
      </c>
      <c r="H293" t="str">
        <f>"INV 2111091076 (DIS)"</f>
        <v>INV 2111091076 (DIS)</v>
      </c>
    </row>
    <row r="294" spans="1:8" x14ac:dyDescent="0.25">
      <c r="E294" t="str">
        <f>""</f>
        <v/>
      </c>
      <c r="F294" t="str">
        <f>""</f>
        <v/>
      </c>
      <c r="G294" s="4">
        <v>206.33</v>
      </c>
      <c r="H294" t="str">
        <f>"INV 2111091076 (SHIP"</f>
        <v>INV 2111091076 (SHIP</v>
      </c>
    </row>
    <row r="295" spans="1:8" x14ac:dyDescent="0.25">
      <c r="E295" t="str">
        <f>""</f>
        <v/>
      </c>
      <c r="F295" t="str">
        <f>""</f>
        <v/>
      </c>
      <c r="G295" s="4">
        <v>118</v>
      </c>
      <c r="H295" t="str">
        <f>"INV 2111091077"</f>
        <v>INV 2111091077</v>
      </c>
    </row>
    <row r="296" spans="1:8" x14ac:dyDescent="0.25">
      <c r="E296" t="str">
        <f>""</f>
        <v/>
      </c>
      <c r="F296" t="str">
        <f>""</f>
        <v/>
      </c>
      <c r="G296" s="4">
        <v>-5.9</v>
      </c>
      <c r="H296" t="str">
        <f>"INV 2111091077 (DIS)"</f>
        <v>INV 2111091077 (DIS)</v>
      </c>
    </row>
    <row r="297" spans="1:8" x14ac:dyDescent="0.25">
      <c r="E297" t="str">
        <f>""</f>
        <v/>
      </c>
      <c r="F297" t="str">
        <f>""</f>
        <v/>
      </c>
      <c r="G297" s="4">
        <v>12.39</v>
      </c>
      <c r="H297" t="str">
        <f>"INV 2111091077 (SHIP"</f>
        <v>INV 2111091077 (SHIP</v>
      </c>
    </row>
    <row r="298" spans="1:8" x14ac:dyDescent="0.25">
      <c r="A298" t="s">
        <v>68</v>
      </c>
      <c r="B298">
        <v>138154</v>
      </c>
      <c r="C298" s="4">
        <v>3274.05</v>
      </c>
      <c r="D298" s="1">
        <v>44539</v>
      </c>
      <c r="E298" t="str">
        <f>"202112097745"</f>
        <v>202112097745</v>
      </c>
      <c r="F298" t="str">
        <f>"ACCT#50000057374 / 12022021"</f>
        <v>ACCT#50000057374 / 12022021</v>
      </c>
      <c r="G298" s="4">
        <v>843.25</v>
      </c>
      <c r="H298" t="str">
        <f>"ACCT#50000057374 / 12022021"</f>
        <v>ACCT#50000057374 / 12022021</v>
      </c>
    </row>
    <row r="299" spans="1:8" x14ac:dyDescent="0.25">
      <c r="E299" t="str">
        <f>""</f>
        <v/>
      </c>
      <c r="F299" t="str">
        <f>""</f>
        <v/>
      </c>
      <c r="G299" s="4">
        <v>1664.45</v>
      </c>
      <c r="H299" t="str">
        <f>"ACCT#50000057374 / 12022021"</f>
        <v>ACCT#50000057374 / 12022021</v>
      </c>
    </row>
    <row r="300" spans="1:8" x14ac:dyDescent="0.25">
      <c r="E300" t="str">
        <f>""</f>
        <v/>
      </c>
      <c r="F300" t="str">
        <f>""</f>
        <v/>
      </c>
      <c r="G300" s="4">
        <v>253.05</v>
      </c>
      <c r="H300" t="str">
        <f>"ACCT#50000057374 / 12022021"</f>
        <v>ACCT#50000057374 / 12022021</v>
      </c>
    </row>
    <row r="301" spans="1:8" x14ac:dyDescent="0.25">
      <c r="E301" t="str">
        <f>""</f>
        <v/>
      </c>
      <c r="F301" t="str">
        <f>""</f>
        <v/>
      </c>
      <c r="G301" s="4">
        <v>361.88</v>
      </c>
      <c r="H301" t="str">
        <f>"ACCT#50000057374 / 12022021"</f>
        <v>ACCT#50000057374 / 12022021</v>
      </c>
    </row>
    <row r="302" spans="1:8" x14ac:dyDescent="0.25">
      <c r="E302" t="str">
        <f>"202112097747"</f>
        <v>202112097747</v>
      </c>
      <c r="F302" t="str">
        <f>"ACCT#55000090397 / 11242021"</f>
        <v>ACCT#55000090397 / 11242021</v>
      </c>
      <c r="G302" s="4">
        <v>151.41999999999999</v>
      </c>
      <c r="H302" t="str">
        <f>"BLUEBONNET ELECTRIC COOPERATIV"</f>
        <v>BLUEBONNET ELECTRIC COOPERATIV</v>
      </c>
    </row>
    <row r="303" spans="1:8" x14ac:dyDescent="0.25">
      <c r="A303" t="s">
        <v>68</v>
      </c>
      <c r="B303">
        <v>138505</v>
      </c>
      <c r="C303" s="4">
        <v>4377.95</v>
      </c>
      <c r="D303" s="1">
        <v>44558</v>
      </c>
      <c r="E303" t="str">
        <f>"202112287973"</f>
        <v>202112287973</v>
      </c>
      <c r="F303" t="str">
        <f>"WK ORD#80727491/CUS#4000038192"</f>
        <v>WK ORD#80727491/CUS#4000038192</v>
      </c>
      <c r="G303" s="4">
        <v>4377.95</v>
      </c>
      <c r="H303" t="str">
        <f>"WK ORD#80727491/CUS#4000038192"</f>
        <v>WK ORD#80727491/CUS#4000038192</v>
      </c>
    </row>
    <row r="304" spans="1:8" x14ac:dyDescent="0.25">
      <c r="A304" t="s">
        <v>69</v>
      </c>
      <c r="B304">
        <v>5545</v>
      </c>
      <c r="C304" s="4">
        <v>21292.55</v>
      </c>
      <c r="D304" s="1">
        <v>44544</v>
      </c>
      <c r="E304" t="str">
        <f>"202112027618"</f>
        <v>202112027618</v>
      </c>
      <c r="F304" t="str">
        <f>"GRANT REIMBURSEMENT"</f>
        <v>GRANT REIMBURSEMENT</v>
      </c>
      <c r="G304" s="4">
        <v>21292.55</v>
      </c>
      <c r="H304" t="str">
        <f>"GRANT REIMBURSEMENT"</f>
        <v>GRANT REIMBURSEMENT</v>
      </c>
    </row>
    <row r="305" spans="1:8" x14ac:dyDescent="0.25">
      <c r="A305" t="s">
        <v>70</v>
      </c>
      <c r="B305">
        <v>138379</v>
      </c>
      <c r="C305" s="4">
        <v>1149.3</v>
      </c>
      <c r="D305" s="1">
        <v>44557</v>
      </c>
      <c r="E305" t="str">
        <f>"13691823"</f>
        <v>13691823</v>
      </c>
      <c r="F305" t="str">
        <f>"ACCT#300362/ANIMAL SHELTER"</f>
        <v>ACCT#300362/ANIMAL SHELTER</v>
      </c>
      <c r="G305" s="4">
        <v>1149.3</v>
      </c>
      <c r="H305" t="str">
        <f>"ACCT#300362/ANIMAL SHELTER"</f>
        <v>ACCT#300362/ANIMAL SHELTER</v>
      </c>
    </row>
    <row r="306" spans="1:8" x14ac:dyDescent="0.25">
      <c r="A306" t="s">
        <v>71</v>
      </c>
      <c r="B306">
        <v>138191</v>
      </c>
      <c r="C306" s="4">
        <v>6994.35</v>
      </c>
      <c r="D306" s="1">
        <v>44543</v>
      </c>
      <c r="E306" t="str">
        <f>"129757"</f>
        <v>129757</v>
      </c>
      <c r="F306" t="str">
        <f>"ACCT#1268 PCT#3"</f>
        <v>ACCT#1268 PCT#3</v>
      </c>
      <c r="G306" s="4">
        <v>2370.25</v>
      </c>
      <c r="H306" t="str">
        <f>"ACCT#1268 PCT#3"</f>
        <v>ACCT#1268 PCT#3</v>
      </c>
    </row>
    <row r="307" spans="1:8" x14ac:dyDescent="0.25">
      <c r="E307" t="str">
        <f>"129988"</f>
        <v>129988</v>
      </c>
      <c r="F307" t="str">
        <f>"ACCT#1268 PCT#3"</f>
        <v>ACCT#1268 PCT#3</v>
      </c>
      <c r="G307" s="4">
        <v>1790.88</v>
      </c>
      <c r="H307" t="str">
        <f>"ACCT#1268 PCT#3"</f>
        <v>ACCT#1268 PCT#3</v>
      </c>
    </row>
    <row r="308" spans="1:8" x14ac:dyDescent="0.25">
      <c r="E308" t="str">
        <f>"130153"</f>
        <v>130153</v>
      </c>
      <c r="F308" t="str">
        <f>"ACCT#1268 PCT#3"</f>
        <v>ACCT#1268 PCT#3</v>
      </c>
      <c r="G308" s="4">
        <v>1764.23</v>
      </c>
      <c r="H308" t="str">
        <f>"ACCT#1268 PCT#3"</f>
        <v>ACCT#1268 PCT#3</v>
      </c>
    </row>
    <row r="309" spans="1:8" x14ac:dyDescent="0.25">
      <c r="E309" t="str">
        <f>"130332"</f>
        <v>130332</v>
      </c>
      <c r="F309" t="str">
        <f>"ACCT#1268 PCT#3"</f>
        <v>ACCT#1268 PCT#3</v>
      </c>
      <c r="G309" s="4">
        <v>1068.99</v>
      </c>
      <c r="H309" t="str">
        <f>"ACCT#1268 PCT#3"</f>
        <v>ACCT#1268 PCT#3</v>
      </c>
    </row>
    <row r="310" spans="1:8" x14ac:dyDescent="0.25">
      <c r="A310" t="s">
        <v>71</v>
      </c>
      <c r="B310">
        <v>138380</v>
      </c>
      <c r="C310" s="4">
        <v>3468.98</v>
      </c>
      <c r="D310" s="1">
        <v>44557</v>
      </c>
      <c r="E310" t="str">
        <f>"130628"</f>
        <v>130628</v>
      </c>
      <c r="F310" t="str">
        <f>"BASE / PCT #3"</f>
        <v>BASE / PCT #3</v>
      </c>
      <c r="G310" s="4">
        <v>3468.98</v>
      </c>
      <c r="H310" t="str">
        <f>"BASE / PCT #3"</f>
        <v>BASE / PCT #3</v>
      </c>
    </row>
    <row r="311" spans="1:8" x14ac:dyDescent="0.25">
      <c r="A311" t="s">
        <v>72</v>
      </c>
      <c r="B311">
        <v>5604</v>
      </c>
      <c r="C311" s="4">
        <v>250</v>
      </c>
      <c r="D311" s="1">
        <v>44558</v>
      </c>
      <c r="E311" t="str">
        <f>"202112167850"</f>
        <v>202112167850</v>
      </c>
      <c r="F311" t="str">
        <f>"JP107112021A"</f>
        <v>JP107112021A</v>
      </c>
      <c r="G311" s="4">
        <v>250</v>
      </c>
      <c r="H311" t="str">
        <f>"JP107112021A"</f>
        <v>JP107112021A</v>
      </c>
    </row>
    <row r="312" spans="1:8" x14ac:dyDescent="0.25">
      <c r="A312" t="s">
        <v>73</v>
      </c>
      <c r="B312">
        <v>138192</v>
      </c>
      <c r="C312" s="4">
        <v>15</v>
      </c>
      <c r="D312" s="1">
        <v>44543</v>
      </c>
      <c r="E312" t="str">
        <f>"21-21027"</f>
        <v>21-21027</v>
      </c>
      <c r="F312" t="str">
        <f>"CAR FUND"</f>
        <v>CAR FUND</v>
      </c>
      <c r="G312" s="4">
        <v>15</v>
      </c>
      <c r="H312" t="str">
        <f>"CAR FUND"</f>
        <v>CAR FUND</v>
      </c>
    </row>
    <row r="313" spans="1:8" x14ac:dyDescent="0.25">
      <c r="A313" t="s">
        <v>74</v>
      </c>
      <c r="B313">
        <v>138381</v>
      </c>
      <c r="C313" s="4">
        <v>80</v>
      </c>
      <c r="D313" s="1">
        <v>44557</v>
      </c>
      <c r="E313" t="str">
        <f>"13364"</f>
        <v>13364</v>
      </c>
      <c r="F313" t="str">
        <f>"SERVICE"</f>
        <v>SERVICE</v>
      </c>
      <c r="G313" s="4">
        <v>80</v>
      </c>
      <c r="H313" t="str">
        <f>"SERVICE"</f>
        <v>SERVICE</v>
      </c>
    </row>
    <row r="314" spans="1:8" x14ac:dyDescent="0.25">
      <c r="A314" t="s">
        <v>75</v>
      </c>
      <c r="B314">
        <v>138193</v>
      </c>
      <c r="C314" s="4">
        <v>35</v>
      </c>
      <c r="D314" s="1">
        <v>44543</v>
      </c>
      <c r="E314" t="str">
        <f>"202111297448"</f>
        <v>202111297448</v>
      </c>
      <c r="F314" t="str">
        <f>"FERAL HOGS"</f>
        <v>FERAL HOGS</v>
      </c>
      <c r="G314" s="4">
        <v>35</v>
      </c>
      <c r="H314" t="str">
        <f>"FERAL HOGS"</f>
        <v>FERAL HOGS</v>
      </c>
    </row>
    <row r="315" spans="1:8" x14ac:dyDescent="0.25">
      <c r="A315" t="s">
        <v>76</v>
      </c>
      <c r="B315">
        <v>138382</v>
      </c>
      <c r="C315" s="4">
        <v>90</v>
      </c>
      <c r="D315" s="1">
        <v>44557</v>
      </c>
      <c r="E315" t="str">
        <f>"13224"</f>
        <v>13224</v>
      </c>
      <c r="F315" t="str">
        <f>"SERVICE"</f>
        <v>SERVICE</v>
      </c>
      <c r="G315" s="4">
        <v>90</v>
      </c>
      <c r="H315" t="str">
        <f>"SERVICE"</f>
        <v>SERVICE</v>
      </c>
    </row>
    <row r="316" spans="1:8" x14ac:dyDescent="0.25">
      <c r="A316" t="s">
        <v>77</v>
      </c>
      <c r="B316">
        <v>1483</v>
      </c>
      <c r="C316" s="4">
        <v>37.14</v>
      </c>
      <c r="D316" s="1">
        <v>44543</v>
      </c>
      <c r="E316" t="str">
        <f>"05436849800BBTNR8"</f>
        <v>05436849800BBTNR8</v>
      </c>
      <c r="F316" t="str">
        <f>"mASTERCARD"</f>
        <v>mASTERCARD</v>
      </c>
      <c r="G316" s="4">
        <v>18</v>
      </c>
      <c r="H316" t="str">
        <f>"Lubys"</f>
        <v>Lubys</v>
      </c>
    </row>
    <row r="317" spans="1:8" x14ac:dyDescent="0.25">
      <c r="E317" t="str">
        <f>""</f>
        <v/>
      </c>
      <c r="F317" t="str">
        <f>""</f>
        <v/>
      </c>
      <c r="G317" s="4">
        <v>19.14</v>
      </c>
      <c r="H317" t="str">
        <f>"dairy queen"</f>
        <v>dairy queen</v>
      </c>
    </row>
    <row r="318" spans="1:8" x14ac:dyDescent="0.25">
      <c r="A318" t="s">
        <v>77</v>
      </c>
      <c r="B318">
        <v>1475</v>
      </c>
      <c r="C318" s="4">
        <v>4946.05</v>
      </c>
      <c r="D318" s="1">
        <v>44537</v>
      </c>
      <c r="E318" t="str">
        <f>"202112077692"</f>
        <v>202112077692</v>
      </c>
      <c r="F318" t="str">
        <f>"MC OCTOBER/NOVEMBER STATEMENTS"</f>
        <v>MC OCTOBER/NOVEMBER STATEMENTS</v>
      </c>
      <c r="G318" s="4">
        <v>1272.97</v>
      </c>
      <c r="H318" t="str">
        <f>"MC OCTOBER/NOVEMBER STATEMENTS"</f>
        <v>MC OCTOBER/NOVEMBER STATEMENTS</v>
      </c>
    </row>
    <row r="319" spans="1:8" x14ac:dyDescent="0.25">
      <c r="E319" t="str">
        <f>""</f>
        <v/>
      </c>
      <c r="F319" t="str">
        <f>""</f>
        <v/>
      </c>
      <c r="G319" s="4">
        <v>1968.7</v>
      </c>
      <c r="H319" t="str">
        <f>"MC OCTOBER/NOVEMBER STATEMENTS"</f>
        <v>MC OCTOBER/NOVEMBER STATEMENTS</v>
      </c>
    </row>
    <row r="320" spans="1:8" x14ac:dyDescent="0.25">
      <c r="E320" t="str">
        <f>""</f>
        <v/>
      </c>
      <c r="F320" t="str">
        <f>""</f>
        <v/>
      </c>
      <c r="G320" s="4">
        <v>1569.39</v>
      </c>
      <c r="H320" t="str">
        <f>"MC OCTOBER/NOVEMBER STATEMENTS"</f>
        <v>MC OCTOBER/NOVEMBER STATEMENTS</v>
      </c>
    </row>
    <row r="321" spans="1:8" x14ac:dyDescent="0.25">
      <c r="E321" t="str">
        <f>""</f>
        <v/>
      </c>
      <c r="F321" t="str">
        <f>""</f>
        <v/>
      </c>
      <c r="G321" s="4">
        <v>134.99</v>
      </c>
      <c r="H321" t="str">
        <f>"MC OCTOBER/NOVEMBER STATEMENTS"</f>
        <v>MC OCTOBER/NOVEMBER STATEMENTS</v>
      </c>
    </row>
    <row r="322" spans="1:8" x14ac:dyDescent="0.25">
      <c r="A322" t="s">
        <v>78</v>
      </c>
      <c r="B322">
        <v>138383</v>
      </c>
      <c r="C322" s="4">
        <v>4831.58</v>
      </c>
      <c r="D322" s="1">
        <v>44557</v>
      </c>
      <c r="E322" t="str">
        <f>"202112167819"</f>
        <v>202112167819</v>
      </c>
      <c r="F322" t="str">
        <f>"423-8024"</f>
        <v>423-8024</v>
      </c>
      <c r="G322" s="4">
        <v>4831.58</v>
      </c>
      <c r="H322" t="str">
        <f>"423-8024"</f>
        <v>423-8024</v>
      </c>
    </row>
    <row r="323" spans="1:8" x14ac:dyDescent="0.25">
      <c r="A323" t="s">
        <v>79</v>
      </c>
      <c r="B323">
        <v>138194</v>
      </c>
      <c r="C323" s="4">
        <v>2406.25</v>
      </c>
      <c r="D323" s="1">
        <v>44543</v>
      </c>
      <c r="E323" t="str">
        <f>"5"</f>
        <v>5</v>
      </c>
      <c r="F323" t="str">
        <f>"HOURS WORKED - NOVEMBER"</f>
        <v>HOURS WORKED - NOVEMBER</v>
      </c>
      <c r="G323" s="4">
        <v>2406.25</v>
      </c>
      <c r="H323" t="str">
        <f>"HOURS WORKED - NOVEMBER"</f>
        <v>HOURS WORKED - NOVEMBER</v>
      </c>
    </row>
    <row r="324" spans="1:8" x14ac:dyDescent="0.25">
      <c r="A324" t="s">
        <v>80</v>
      </c>
      <c r="B324">
        <v>138195</v>
      </c>
      <c r="C324" s="4">
        <v>2512.5</v>
      </c>
      <c r="D324" s="1">
        <v>44543</v>
      </c>
      <c r="E324" t="str">
        <f>"202112027583"</f>
        <v>202112027583</v>
      </c>
      <c r="F324" t="str">
        <f>"10-20179"</f>
        <v>10-20179</v>
      </c>
      <c r="G324" s="4">
        <v>462.5</v>
      </c>
      <c r="H324" t="str">
        <f>"10-20179"</f>
        <v>10-20179</v>
      </c>
    </row>
    <row r="325" spans="1:8" x14ac:dyDescent="0.25">
      <c r="E325" t="str">
        <f>"202112027584"</f>
        <v>202112027584</v>
      </c>
      <c r="F325" t="str">
        <f>"19-19456"</f>
        <v>19-19456</v>
      </c>
      <c r="G325" s="4">
        <v>2050</v>
      </c>
      <c r="H325" t="str">
        <f>"19-19456"</f>
        <v>19-19456</v>
      </c>
    </row>
    <row r="326" spans="1:8" x14ac:dyDescent="0.25">
      <c r="A326" t="s">
        <v>81</v>
      </c>
      <c r="B326">
        <v>138196</v>
      </c>
      <c r="C326" s="4">
        <v>12000</v>
      </c>
      <c r="D326" s="1">
        <v>44543</v>
      </c>
      <c r="E326" t="str">
        <f>"202111307490"</f>
        <v>202111307490</v>
      </c>
      <c r="F326" t="str">
        <f>"GRANT FUNDS FY21-22"</f>
        <v>GRANT FUNDS FY21-22</v>
      </c>
      <c r="G326" s="4">
        <v>12000</v>
      </c>
      <c r="H326" t="str">
        <f>"GRANT FUNDS FY21-22"</f>
        <v>GRANT FUNDS FY21-22</v>
      </c>
    </row>
    <row r="327" spans="1:8" x14ac:dyDescent="0.25">
      <c r="A327" t="s">
        <v>82</v>
      </c>
      <c r="B327">
        <v>5544</v>
      </c>
      <c r="C327" s="4">
        <v>886.23</v>
      </c>
      <c r="D327" s="1">
        <v>44544</v>
      </c>
      <c r="E327" t="str">
        <f>"N589731"</f>
        <v>N589731</v>
      </c>
      <c r="F327" t="str">
        <f>"HP LaserJet Pro M404dw"</f>
        <v>HP LaserJet Pro M404dw</v>
      </c>
      <c r="G327" s="4">
        <v>886.23</v>
      </c>
      <c r="H327" t="str">
        <f>"HP LaserJet Pro M404dw"</f>
        <v>HP LaserJet Pro M404dw</v>
      </c>
    </row>
    <row r="328" spans="1:8" x14ac:dyDescent="0.25">
      <c r="A328" t="s">
        <v>82</v>
      </c>
      <c r="B328">
        <v>5600</v>
      </c>
      <c r="C328" s="4">
        <v>1984.92</v>
      </c>
      <c r="D328" s="1">
        <v>44558</v>
      </c>
      <c r="E328" t="str">
        <f>"202112197902"</f>
        <v>202112197902</v>
      </c>
      <c r="F328" t="str">
        <f>"CISCO DIRECT MR36-HW"</f>
        <v>CISCO DIRECT MR36-HW</v>
      </c>
      <c r="G328" s="4">
        <v>1984.92</v>
      </c>
      <c r="H328" t="str">
        <f>"CISCO DIRECT MR36-HW"</f>
        <v>CISCO DIRECT MR36-HW</v>
      </c>
    </row>
    <row r="329" spans="1:8" x14ac:dyDescent="0.25">
      <c r="A329" t="s">
        <v>83</v>
      </c>
      <c r="B329">
        <v>138384</v>
      </c>
      <c r="C329" s="4">
        <v>149.88999999999999</v>
      </c>
      <c r="D329" s="1">
        <v>44557</v>
      </c>
      <c r="E329" t="str">
        <f>"82497"</f>
        <v>82497</v>
      </c>
      <c r="F329" t="str">
        <f>"INV 82497"</f>
        <v>INV 82497</v>
      </c>
      <c r="G329" s="4">
        <v>149.88999999999999</v>
      </c>
      <c r="H329" t="str">
        <f>"INV 82497"</f>
        <v>INV 82497</v>
      </c>
    </row>
    <row r="330" spans="1:8" x14ac:dyDescent="0.25">
      <c r="A330" t="s">
        <v>84</v>
      </c>
      <c r="B330">
        <v>138155</v>
      </c>
      <c r="C330" s="4">
        <v>1423.71</v>
      </c>
      <c r="D330" s="1">
        <v>44539</v>
      </c>
      <c r="E330" t="str">
        <f>"202112097744"</f>
        <v>202112097744</v>
      </c>
      <c r="F330" t="str">
        <f>"ACCT#8000081165-5 / 10262021"</f>
        <v>ACCT#8000081165-5 / 10262021</v>
      </c>
      <c r="G330" s="4">
        <v>1552.4</v>
      </c>
      <c r="H330" t="str">
        <f>"ACCT#8000081165-5 / 10262021"</f>
        <v>ACCT#8000081165-5 / 10262021</v>
      </c>
    </row>
    <row r="331" spans="1:8" x14ac:dyDescent="0.25">
      <c r="E331" t="str">
        <f>""</f>
        <v/>
      </c>
      <c r="F331" t="str">
        <f>""</f>
        <v/>
      </c>
      <c r="G331" s="4">
        <v>-128.69</v>
      </c>
      <c r="H331" t="str">
        <f>"ACCT#8000081165-5 / 10262021"</f>
        <v>ACCT#8000081165-5 / 10262021</v>
      </c>
    </row>
    <row r="332" spans="1:8" x14ac:dyDescent="0.25">
      <c r="A332" t="s">
        <v>84</v>
      </c>
      <c r="B332">
        <v>138508</v>
      </c>
      <c r="C332" s="4">
        <v>2070.33</v>
      </c>
      <c r="D332" s="1">
        <v>44559</v>
      </c>
      <c r="E332" t="str">
        <f>"202112297983"</f>
        <v>202112297983</v>
      </c>
      <c r="F332" t="str">
        <f>"ACCT#8000081165-5 / 11222021"</f>
        <v>ACCT#8000081165-5 / 11222021</v>
      </c>
      <c r="G332" s="4">
        <v>1753.92</v>
      </c>
      <c r="H332" t="str">
        <f>"ACCT#8000081165-5 / 11222021"</f>
        <v>ACCT#8000081165-5 / 11222021</v>
      </c>
    </row>
    <row r="333" spans="1:8" x14ac:dyDescent="0.25">
      <c r="E333" t="str">
        <f>""</f>
        <v/>
      </c>
      <c r="F333" t="str">
        <f>""</f>
        <v/>
      </c>
      <c r="G333" s="4">
        <v>316.41000000000003</v>
      </c>
      <c r="H333" t="str">
        <f>"ACCT#8000081165-5 / 11222021"</f>
        <v>ACCT#8000081165-5 / 11222021</v>
      </c>
    </row>
    <row r="334" spans="1:8" x14ac:dyDescent="0.25">
      <c r="A334" t="s">
        <v>85</v>
      </c>
      <c r="B334">
        <v>138385</v>
      </c>
      <c r="C334" s="4">
        <v>1867.42</v>
      </c>
      <c r="D334" s="1">
        <v>44557</v>
      </c>
      <c r="E334" t="str">
        <f>"CID2790058"</f>
        <v>CID2790058</v>
      </c>
      <c r="F334" t="str">
        <f>"ACCT#509314860/ORD#CIDA1421"</f>
        <v>ACCT#509314860/ORD#CIDA1421</v>
      </c>
      <c r="G334" s="4">
        <v>475</v>
      </c>
      <c r="H334" t="str">
        <f>"ACCT#509314860/ORD#CIDA1421"</f>
        <v>ACCT#509314860/ORD#CIDA1421</v>
      </c>
    </row>
    <row r="335" spans="1:8" x14ac:dyDescent="0.25">
      <c r="E335" t="str">
        <f>"CID2791932"</f>
        <v>CID2791932</v>
      </c>
      <c r="F335" t="str">
        <f>"ACCT#509314860/ORD#CIDA1421"</f>
        <v>ACCT#509314860/ORD#CIDA1421</v>
      </c>
      <c r="G335" s="4">
        <v>195.5</v>
      </c>
      <c r="H335" t="str">
        <f>"ACCT#509314860/ORD#CIDA1421"</f>
        <v>ACCT#509314860/ORD#CIDA1421</v>
      </c>
    </row>
    <row r="336" spans="1:8" x14ac:dyDescent="0.25">
      <c r="E336" t="str">
        <f>"CID2792312"</f>
        <v>CID2792312</v>
      </c>
      <c r="F336" t="str">
        <f>"ACCT#509314860/ORD#CIDA1421"</f>
        <v>ACCT#509314860/ORD#CIDA1421</v>
      </c>
      <c r="G336" s="4">
        <v>952.09</v>
      </c>
      <c r="H336" t="str">
        <f>"ACCT#509314860/ORD#CIDA1421"</f>
        <v>ACCT#509314860/ORD#CIDA1421</v>
      </c>
    </row>
    <row r="337" spans="1:8" x14ac:dyDescent="0.25">
      <c r="E337" t="str">
        <f>"CID2792762"</f>
        <v>CID2792762</v>
      </c>
      <c r="F337" t="str">
        <f>"ACCT#509314860/ORD#CIDA1421"</f>
        <v>ACCT#509314860/ORD#CIDA1421</v>
      </c>
      <c r="G337" s="4">
        <v>244.83</v>
      </c>
      <c r="H337" t="str">
        <f>"ACCT#509314860/ORD#CIDA1421"</f>
        <v>ACCT#509314860/ORD#CIDA1421</v>
      </c>
    </row>
    <row r="338" spans="1:8" x14ac:dyDescent="0.25">
      <c r="A338" t="s">
        <v>86</v>
      </c>
      <c r="B338">
        <v>138197</v>
      </c>
      <c r="C338" s="4">
        <v>575</v>
      </c>
      <c r="D338" s="1">
        <v>44543</v>
      </c>
      <c r="E338" t="str">
        <f>"202111297450"</f>
        <v>202111297450</v>
      </c>
      <c r="F338" t="str">
        <f>"FERAL HOGS"</f>
        <v>FERAL HOGS</v>
      </c>
      <c r="G338" s="4">
        <v>575</v>
      </c>
      <c r="H338" t="str">
        <f>"FERAL HOGS"</f>
        <v>FERAL HOGS</v>
      </c>
    </row>
    <row r="339" spans="1:8" x14ac:dyDescent="0.25">
      <c r="A339" t="s">
        <v>87</v>
      </c>
      <c r="B339">
        <v>5595</v>
      </c>
      <c r="C339" s="4">
        <v>537.29999999999995</v>
      </c>
      <c r="D339" s="1">
        <v>44558</v>
      </c>
      <c r="E339" t="str">
        <f>"0268919-IN"</f>
        <v>0268919-IN</v>
      </c>
      <c r="F339" t="str">
        <f>"INV 0268919-IN"</f>
        <v>INV 0268919-IN</v>
      </c>
      <c r="G339" s="4">
        <v>537.29999999999995</v>
      </c>
      <c r="H339" t="str">
        <f>"INV 0268919-IN"</f>
        <v>INV 0268919-IN</v>
      </c>
    </row>
    <row r="340" spans="1:8" x14ac:dyDescent="0.25">
      <c r="A340" t="s">
        <v>88</v>
      </c>
      <c r="B340">
        <v>5550</v>
      </c>
      <c r="C340" s="4">
        <v>9075</v>
      </c>
      <c r="D340" s="1">
        <v>44544</v>
      </c>
      <c r="E340" t="str">
        <f>"202112027596"</f>
        <v>202112027596</v>
      </c>
      <c r="F340" t="str">
        <f>"AC2021-0822"</f>
        <v>AC2021-0822</v>
      </c>
      <c r="G340" s="4">
        <v>250</v>
      </c>
      <c r="H340" t="str">
        <f>"AC2021-0822"</f>
        <v>AC2021-0822</v>
      </c>
    </row>
    <row r="341" spans="1:8" x14ac:dyDescent="0.25">
      <c r="E341" t="str">
        <f>"202112027597"</f>
        <v>202112027597</v>
      </c>
      <c r="F341" t="str">
        <f>"21-21028  21-21029  21-21030"</f>
        <v>21-21028  21-21029  21-21030</v>
      </c>
      <c r="G341" s="4">
        <v>300</v>
      </c>
      <c r="H341" t="str">
        <f>"21-21028  21-21029  21-21030"</f>
        <v>21-21028  21-21029  21-21030</v>
      </c>
    </row>
    <row r="342" spans="1:8" x14ac:dyDescent="0.25">
      <c r="E342" t="str">
        <f>"202112027598"</f>
        <v>202112027598</v>
      </c>
      <c r="F342" t="str">
        <f>"JP10522021A JP3305082021D"</f>
        <v>JP10522021A JP3305082021D</v>
      </c>
      <c r="G342" s="4">
        <v>375</v>
      </c>
      <c r="H342" t="str">
        <f>"JP10522021A JP3305082021D"</f>
        <v>JP10522021A JP3305082021D</v>
      </c>
    </row>
    <row r="343" spans="1:8" x14ac:dyDescent="0.25">
      <c r="E343" t="str">
        <f>"202112027599"</f>
        <v>202112027599</v>
      </c>
      <c r="F343" t="str">
        <f>"19-19567"</f>
        <v>19-19567</v>
      </c>
      <c r="G343" s="4">
        <v>650</v>
      </c>
      <c r="H343" t="str">
        <f>"19-19567"</f>
        <v>19-19567</v>
      </c>
    </row>
    <row r="344" spans="1:8" x14ac:dyDescent="0.25">
      <c r="E344" t="str">
        <f>"202112027600"</f>
        <v>202112027600</v>
      </c>
      <c r="F344" t="str">
        <f>"20-20954"</f>
        <v>20-20954</v>
      </c>
      <c r="G344" s="4">
        <v>150</v>
      </c>
      <c r="H344" t="str">
        <f>"20-20954"</f>
        <v>20-20954</v>
      </c>
    </row>
    <row r="345" spans="1:8" x14ac:dyDescent="0.25">
      <c r="E345" t="str">
        <f>"202112027601"</f>
        <v>202112027601</v>
      </c>
      <c r="F345" t="str">
        <f>"20-20373"</f>
        <v>20-20373</v>
      </c>
      <c r="G345" s="4">
        <v>150</v>
      </c>
      <c r="H345" t="str">
        <f>"20-20373"</f>
        <v>20-20373</v>
      </c>
    </row>
    <row r="346" spans="1:8" x14ac:dyDescent="0.25">
      <c r="E346" t="str">
        <f>"202112027602"</f>
        <v>202112027602</v>
      </c>
      <c r="F346" t="str">
        <f>"423-5745"</f>
        <v>423-5745</v>
      </c>
      <c r="G346" s="4">
        <v>750</v>
      </c>
      <c r="H346" t="str">
        <f>"423-5745"</f>
        <v>423-5745</v>
      </c>
    </row>
    <row r="347" spans="1:8" x14ac:dyDescent="0.25">
      <c r="E347" t="str">
        <f>"202112027603"</f>
        <v>202112027603</v>
      </c>
      <c r="F347" t="str">
        <f>"20-20179"</f>
        <v>20-20179</v>
      </c>
      <c r="G347" s="4">
        <v>650</v>
      </c>
      <c r="H347" t="str">
        <f>"20-20179"</f>
        <v>20-20179</v>
      </c>
    </row>
    <row r="348" spans="1:8" x14ac:dyDescent="0.25">
      <c r="E348" t="str">
        <f>"202112027604"</f>
        <v>202112027604</v>
      </c>
      <c r="F348" t="str">
        <f>"21-20565"</f>
        <v>21-20565</v>
      </c>
      <c r="G348" s="4">
        <v>650</v>
      </c>
      <c r="H348" t="str">
        <f>"21-20565"</f>
        <v>21-20565</v>
      </c>
    </row>
    <row r="349" spans="1:8" x14ac:dyDescent="0.25">
      <c r="E349" t="str">
        <f>"202112027637"</f>
        <v>202112027637</v>
      </c>
      <c r="F349" t="str">
        <f>"17 108"</f>
        <v>17 108</v>
      </c>
      <c r="G349" s="4">
        <v>1000</v>
      </c>
      <c r="H349" t="str">
        <f>"17 108"</f>
        <v>17 108</v>
      </c>
    </row>
    <row r="350" spans="1:8" x14ac:dyDescent="0.25">
      <c r="E350" t="str">
        <f>"202112027638"</f>
        <v>202112027638</v>
      </c>
      <c r="F350" t="str">
        <f>"16 980"</f>
        <v>16 980</v>
      </c>
      <c r="G350" s="4">
        <v>400</v>
      </c>
      <c r="H350" t="str">
        <f>"16 980"</f>
        <v>16 980</v>
      </c>
    </row>
    <row r="351" spans="1:8" x14ac:dyDescent="0.25">
      <c r="E351" t="str">
        <f>"202112027639"</f>
        <v>202112027639</v>
      </c>
      <c r="F351" t="str">
        <f>"1610707 17 563"</f>
        <v>1610707 17 563</v>
      </c>
      <c r="G351" s="4">
        <v>3750</v>
      </c>
      <c r="H351" t="str">
        <f>"1610707 17 563"</f>
        <v>1610707 17 563</v>
      </c>
    </row>
    <row r="352" spans="1:8" x14ac:dyDescent="0.25">
      <c r="A352" t="s">
        <v>88</v>
      </c>
      <c r="B352">
        <v>5603</v>
      </c>
      <c r="C352" s="4">
        <v>4300</v>
      </c>
      <c r="D352" s="1">
        <v>44558</v>
      </c>
      <c r="E352" t="str">
        <f>"202112197918"</f>
        <v>202112197918</v>
      </c>
      <c r="F352" t="str">
        <f>"17 325"</f>
        <v>17 325</v>
      </c>
      <c r="G352" s="4">
        <v>400</v>
      </c>
      <c r="H352" t="str">
        <f>"17 325"</f>
        <v>17 325</v>
      </c>
    </row>
    <row r="353" spans="1:8" x14ac:dyDescent="0.25">
      <c r="E353" t="str">
        <f>"202112197919"</f>
        <v>202112197919</v>
      </c>
      <c r="F353" t="str">
        <f>"423-8192  1957-335"</f>
        <v>423-8192  1957-335</v>
      </c>
      <c r="G353" s="4">
        <v>200</v>
      </c>
      <c r="H353" t="str">
        <f>"423-8192  1957-335"</f>
        <v>423-8192  1957-335</v>
      </c>
    </row>
    <row r="354" spans="1:8" x14ac:dyDescent="0.25">
      <c r="E354" t="str">
        <f>"202112197920"</f>
        <v>202112197920</v>
      </c>
      <c r="F354" t="str">
        <f>"17 191  02-731-3"</f>
        <v>17 191  02-731-3</v>
      </c>
      <c r="G354" s="4">
        <v>600</v>
      </c>
      <c r="H354" t="str">
        <f>"17 191  02-731-3"</f>
        <v>17 191  02-731-3</v>
      </c>
    </row>
    <row r="355" spans="1:8" x14ac:dyDescent="0.25">
      <c r="E355" t="str">
        <f>"202112197921"</f>
        <v>202112197921</v>
      </c>
      <c r="F355" t="str">
        <f>"4041421-2 4041421-4 4041421-3"</f>
        <v>4041421-2 4041421-4 4041421-3</v>
      </c>
      <c r="G355" s="4">
        <v>1200</v>
      </c>
      <c r="H355" t="str">
        <f>"4041421-2 4041421-4 4041421-3"</f>
        <v>4041421-2 4041421-4 4041421-3</v>
      </c>
    </row>
    <row r="356" spans="1:8" x14ac:dyDescent="0.25">
      <c r="E356" t="str">
        <f>"202112197922"</f>
        <v>202112197922</v>
      </c>
      <c r="F356" t="str">
        <f>"17 211"</f>
        <v>17 211</v>
      </c>
      <c r="G356" s="4">
        <v>900</v>
      </c>
      <c r="H356" t="str">
        <f>"17 211"</f>
        <v>17 211</v>
      </c>
    </row>
    <row r="357" spans="1:8" x14ac:dyDescent="0.25">
      <c r="E357" t="str">
        <f>"202112197923"</f>
        <v>202112197923</v>
      </c>
      <c r="F357" t="str">
        <f>"16 517 307012021A"</f>
        <v>16 517 307012021A</v>
      </c>
      <c r="G357" s="4">
        <v>600</v>
      </c>
      <c r="H357" t="str">
        <f>"16 517 307012021A"</f>
        <v>16 517 307012021A</v>
      </c>
    </row>
    <row r="358" spans="1:8" x14ac:dyDescent="0.25">
      <c r="E358" t="str">
        <f>"202112197924"</f>
        <v>202112197924</v>
      </c>
      <c r="F358" t="str">
        <f>"17 324"</f>
        <v>17 324</v>
      </c>
      <c r="G358" s="4">
        <v>400</v>
      </c>
      <c r="H358" t="str">
        <f>"17 324"</f>
        <v>17 324</v>
      </c>
    </row>
    <row r="359" spans="1:8" x14ac:dyDescent="0.25">
      <c r="A359" t="s">
        <v>89</v>
      </c>
      <c r="B359">
        <v>138198</v>
      </c>
      <c r="C359" s="4">
        <v>8</v>
      </c>
      <c r="D359" s="1">
        <v>44543</v>
      </c>
      <c r="E359" t="s">
        <v>90</v>
      </c>
      <c r="F359" s="4" t="str">
        <f>"OVERPAYMENT"</f>
        <v>OVERPAYMENT</v>
      </c>
      <c r="G359" s="4">
        <v>8</v>
      </c>
      <c r="H359" t="str">
        <f>"OVERPAYMENT"</f>
        <v>OVERPAYMENT</v>
      </c>
    </row>
    <row r="360" spans="1:8" x14ac:dyDescent="0.25">
      <c r="A360" t="s">
        <v>91</v>
      </c>
      <c r="B360">
        <v>5514</v>
      </c>
      <c r="C360" s="4">
        <v>77.94</v>
      </c>
      <c r="D360" s="1">
        <v>44544</v>
      </c>
      <c r="E360" t="str">
        <f>"202111307496"</f>
        <v>202111307496</v>
      </c>
      <c r="F360" t="str">
        <f>"REIMBURSEMENT - UNIFORMS"</f>
        <v>REIMBURSEMENT - UNIFORMS</v>
      </c>
      <c r="G360" s="4">
        <v>77.94</v>
      </c>
      <c r="H360" t="str">
        <f>"REIMBURSEMENT - UNIFORMS"</f>
        <v>REIMBURSEMENT - UNIFORMS</v>
      </c>
    </row>
    <row r="361" spans="1:8" x14ac:dyDescent="0.25">
      <c r="A361" t="s">
        <v>92</v>
      </c>
      <c r="B361">
        <v>138199</v>
      </c>
      <c r="C361" s="4">
        <v>258.18</v>
      </c>
      <c r="D361" s="1">
        <v>44543</v>
      </c>
      <c r="E361" t="str">
        <f>"5085474674"</f>
        <v>5085474674</v>
      </c>
      <c r="F361" t="str">
        <f>"CUST #11167190 PCT#1"</f>
        <v>CUST #11167190 PCT#1</v>
      </c>
      <c r="G361" s="4">
        <v>108.18</v>
      </c>
      <c r="H361" t="str">
        <f>"CUST #11167190 PCT#1"</f>
        <v>CUST #11167190 PCT#1</v>
      </c>
    </row>
    <row r="362" spans="1:8" x14ac:dyDescent="0.25">
      <c r="E362" t="str">
        <f>"9156105250"</f>
        <v>9156105250</v>
      </c>
      <c r="F362" t="str">
        <f>"INV 9156105250"</f>
        <v>INV 9156105250</v>
      </c>
      <c r="G362" s="4">
        <v>100</v>
      </c>
      <c r="H362" t="str">
        <f>"INV 9156105250"</f>
        <v>INV 9156105250</v>
      </c>
    </row>
    <row r="363" spans="1:8" x14ac:dyDescent="0.25">
      <c r="E363" t="str">
        <f>"9156105252"</f>
        <v>9156105252</v>
      </c>
      <c r="F363" t="str">
        <f>"INV 9156105252"</f>
        <v>INV 9156105252</v>
      </c>
      <c r="G363" s="4">
        <v>50</v>
      </c>
      <c r="H363" t="str">
        <f>"INV 9156105252"</f>
        <v>INV 9156105252</v>
      </c>
    </row>
    <row r="364" spans="1:8" x14ac:dyDescent="0.25">
      <c r="A364" t="s">
        <v>93</v>
      </c>
      <c r="B364">
        <v>138200</v>
      </c>
      <c r="C364" s="4">
        <v>5944.11</v>
      </c>
      <c r="D364" s="1">
        <v>44543</v>
      </c>
      <c r="E364" t="str">
        <f>"202112067685"</f>
        <v>202112067685</v>
      </c>
      <c r="F364" t="str">
        <f>"PAYER#14108367/PCT#2"</f>
        <v>PAYER#14108367/PCT#2</v>
      </c>
      <c r="G364" s="4">
        <v>658.04</v>
      </c>
      <c r="H364" t="str">
        <f>"PAYER#14108367/PCT#2"</f>
        <v>PAYER#14108367/PCT#2</v>
      </c>
    </row>
    <row r="365" spans="1:8" x14ac:dyDescent="0.25">
      <c r="E365" t="str">
        <f>"202112077688"</f>
        <v>202112077688</v>
      </c>
      <c r="F365" t="str">
        <f>"PAYER#14108430/PCT#4"</f>
        <v>PAYER#14108430/PCT#4</v>
      </c>
      <c r="G365" s="4">
        <v>1459.75</v>
      </c>
      <c r="H365" t="str">
        <f>"PAYER#14108430/PCT#4"</f>
        <v>PAYER#14108430/PCT#4</v>
      </c>
    </row>
    <row r="366" spans="1:8" x14ac:dyDescent="0.25">
      <c r="E366" t="str">
        <f>"202112077689"</f>
        <v>202112077689</v>
      </c>
      <c r="F366" t="str">
        <f>"PAYER#14108431/SIGN SHOP"</f>
        <v>PAYER#14108431/SIGN SHOP</v>
      </c>
      <c r="G366" s="4">
        <v>74.400000000000006</v>
      </c>
      <c r="H366" t="str">
        <f>"PAYER#14108431/SIGN SHOP"</f>
        <v>PAYER#14108431/SIGN SHOP</v>
      </c>
    </row>
    <row r="367" spans="1:8" x14ac:dyDescent="0.25">
      <c r="E367" t="str">
        <f>"202112077691"</f>
        <v>202112077691</v>
      </c>
      <c r="F367" t="str">
        <f>"PAYER#14108375/GENERAL SVCS"</f>
        <v>PAYER#14108375/GENERAL SVCS</v>
      </c>
      <c r="G367" s="4">
        <v>2300.96</v>
      </c>
      <c r="H367" t="str">
        <f>"PAYER#14108375/GENERAL SVCS"</f>
        <v>PAYER#14108375/GENERAL SVCS</v>
      </c>
    </row>
    <row r="368" spans="1:8" x14ac:dyDescent="0.25">
      <c r="E368" t="str">
        <f>"202112087727"</f>
        <v>202112087727</v>
      </c>
      <c r="F368" t="str">
        <f>"PAYER#14108463/ANIMAL SHELTER"</f>
        <v>PAYER#14108463/ANIMAL SHELTER</v>
      </c>
      <c r="G368" s="4">
        <v>347.61</v>
      </c>
      <c r="H368" t="str">
        <f>"PAYER#14108463/ANIMAL SHELTER"</f>
        <v>PAYER#14108463/ANIMAL SHELTER</v>
      </c>
    </row>
    <row r="369" spans="1:8" x14ac:dyDescent="0.25">
      <c r="E369" t="str">
        <f>"4100516799"</f>
        <v>4100516799</v>
      </c>
      <c r="F369" t="str">
        <f>"PAYER #14108431 PCT#1"</f>
        <v>PAYER #14108431 PCT#1</v>
      </c>
      <c r="G369" s="4">
        <v>1103.3499999999999</v>
      </c>
      <c r="H369" t="str">
        <f>"PAYER #14108431 PCT#1"</f>
        <v>PAYER #14108431 PCT#1</v>
      </c>
    </row>
    <row r="370" spans="1:8" x14ac:dyDescent="0.25">
      <c r="A370" t="s">
        <v>93</v>
      </c>
      <c r="B370">
        <v>138201</v>
      </c>
      <c r="C370" s="4">
        <v>108.28</v>
      </c>
      <c r="D370" s="1">
        <v>44543</v>
      </c>
      <c r="E370" t="str">
        <f>"8405430870"</f>
        <v>8405430870</v>
      </c>
      <c r="F370" t="str">
        <f>"CUST#10377368/PCT#2"</f>
        <v>CUST#10377368/PCT#2</v>
      </c>
      <c r="G370" s="4">
        <v>108.28</v>
      </c>
      <c r="H370" t="str">
        <f>"CUST#10377368/PCT#2"</f>
        <v>CUST#10377368/PCT#2</v>
      </c>
    </row>
    <row r="371" spans="1:8" x14ac:dyDescent="0.25">
      <c r="A371" t="s">
        <v>93</v>
      </c>
      <c r="B371">
        <v>138386</v>
      </c>
      <c r="C371" s="4">
        <v>432.39</v>
      </c>
      <c r="D371" s="1">
        <v>44557</v>
      </c>
      <c r="E371" t="str">
        <f>"8405448117"</f>
        <v>8405448117</v>
      </c>
      <c r="F371" t="str">
        <f>"CUST #10377368 / PCT #3"</f>
        <v>CUST #10377368 / PCT #3</v>
      </c>
      <c r="G371" s="4">
        <v>432.39</v>
      </c>
      <c r="H371" t="str">
        <f>"CUST #10377368 / PCT #3"</f>
        <v>CUST #10377368 / PCT #3</v>
      </c>
    </row>
    <row r="372" spans="1:8" x14ac:dyDescent="0.25">
      <c r="A372" t="s">
        <v>94</v>
      </c>
      <c r="B372">
        <v>1519</v>
      </c>
      <c r="C372" s="4">
        <v>12310.4</v>
      </c>
      <c r="D372" s="1">
        <v>44546</v>
      </c>
      <c r="E372" t="str">
        <f>"202112167854"</f>
        <v>202112167854</v>
      </c>
      <c r="F372" t="str">
        <f>"ACCT#72-6513 / 12032021"</f>
        <v>ACCT#72-6513 / 12032021</v>
      </c>
      <c r="G372" s="4">
        <v>12956.67</v>
      </c>
      <c r="H372" t="str">
        <f>"ACCT#72-6513 / 12032021"</f>
        <v>ACCT#72-6513 / 12032021</v>
      </c>
    </row>
    <row r="373" spans="1:8" x14ac:dyDescent="0.25">
      <c r="E373" t="str">
        <f>""</f>
        <v/>
      </c>
      <c r="F373" t="str">
        <f>""</f>
        <v/>
      </c>
      <c r="G373" s="4">
        <v>-646.27</v>
      </c>
      <c r="H373" t="str">
        <f>"ACCT#72-6513 / 12032021"</f>
        <v>ACCT#72-6513 / 12032021</v>
      </c>
    </row>
    <row r="374" spans="1:8" s="6" customFormat="1" x14ac:dyDescent="0.25">
      <c r="A374" s="6" t="s">
        <v>95</v>
      </c>
      <c r="B374" s="6">
        <v>138387</v>
      </c>
      <c r="C374" s="7">
        <v>3414.7</v>
      </c>
      <c r="D374" s="8">
        <v>44557</v>
      </c>
      <c r="E374" s="6" t="str">
        <f>"BA_BSTP_CO-012021"</f>
        <v>BA_BSTP_CO-012021</v>
      </c>
      <c r="F374" s="6" t="str">
        <f>"WK ORD#520924 FCC LICENSING"</f>
        <v>WK ORD#520924 FCC LICENSING</v>
      </c>
      <c r="G374" s="7">
        <v>120</v>
      </c>
      <c r="H374" s="6" t="str">
        <f>"WK ORD#520924 FCC LICENSING"</f>
        <v>WK ORD#520924 FCC LICENSING</v>
      </c>
    </row>
    <row r="375" spans="1:8" x14ac:dyDescent="0.25">
      <c r="E375" t="str">
        <f>"BA_BSTP_CO-062020"</f>
        <v>BA_BSTP_CO-062020</v>
      </c>
      <c r="F375" t="str">
        <f>"WK ORD#460073/CONFIGURE SYS KE"</f>
        <v>WK ORD#460073/CONFIGURE SYS KE</v>
      </c>
      <c r="G375" s="4">
        <v>94.7</v>
      </c>
      <c r="H375" t="str">
        <f>"WK ORD#460073/CONFIGURE SYS KE"</f>
        <v>WK ORD#460073/CONFIGURE SYS KE</v>
      </c>
    </row>
    <row r="376" spans="1:8" x14ac:dyDescent="0.25">
      <c r="E376" t="str">
        <f>"BA_BSTP_CO-092020"</f>
        <v>BA_BSTP_CO-092020</v>
      </c>
      <c r="F376" t="str">
        <f>"WK ORD#'S 502131 502138 502358"</f>
        <v>WK ORD#'S 502131 502138 502358</v>
      </c>
      <c r="G376" s="4">
        <v>3200</v>
      </c>
      <c r="H376" t="str">
        <f>"WK ORD#'S 502131 502138 502358"</f>
        <v>WK ORD#'S 502131 502138 502358</v>
      </c>
    </row>
    <row r="377" spans="1:8" x14ac:dyDescent="0.25">
      <c r="A377" t="s">
        <v>96</v>
      </c>
      <c r="B377">
        <v>138156</v>
      </c>
      <c r="C377" s="4">
        <v>42867.46</v>
      </c>
      <c r="D377" s="1">
        <v>44539</v>
      </c>
      <c r="E377" t="str">
        <f>"202112097739"</f>
        <v>202112097739</v>
      </c>
      <c r="F377" t="str">
        <f>"ACCT#02-2083-04 / 11292021"</f>
        <v>ACCT#02-2083-04 / 11292021</v>
      </c>
      <c r="G377" s="4">
        <v>7317.59</v>
      </c>
      <c r="H377" t="str">
        <f>"ACCT#02-2083-04 / 11292021"</f>
        <v>ACCT#02-2083-04 / 11292021</v>
      </c>
    </row>
    <row r="378" spans="1:8" x14ac:dyDescent="0.25">
      <c r="E378" t="str">
        <f>"202112097740"</f>
        <v>202112097740</v>
      </c>
      <c r="F378" t="str">
        <f>"COUNTY DEV CENTER / 11292021"</f>
        <v>COUNTY DEV CENTER / 11292021</v>
      </c>
      <c r="G378" s="4">
        <v>1681.08</v>
      </c>
      <c r="H378" t="str">
        <f>"CITY OF BASTROP"</f>
        <v>CITY OF BASTROP</v>
      </c>
    </row>
    <row r="379" spans="1:8" x14ac:dyDescent="0.25">
      <c r="E379" t="str">
        <f>"202112097741"</f>
        <v>202112097741</v>
      </c>
      <c r="F379" t="str">
        <f>"COUNTY LAW CENTER / 11292021"</f>
        <v>COUNTY LAW CENTER / 11292021</v>
      </c>
      <c r="G379" s="4">
        <v>22728.799999999999</v>
      </c>
      <c r="H379" t="str">
        <f>"CITY OF BASTROP"</f>
        <v>CITY OF BASTROP</v>
      </c>
    </row>
    <row r="380" spans="1:8" x14ac:dyDescent="0.25">
      <c r="E380" t="str">
        <f>"202112097742"</f>
        <v>202112097742</v>
      </c>
      <c r="F380" t="str">
        <f>"BASTROP COURTHOUSE / 11292021"</f>
        <v>BASTROP COURTHOUSE / 11292021</v>
      </c>
      <c r="G380" s="4">
        <v>11139.99</v>
      </c>
      <c r="H380" t="str">
        <f>"CITY OF BASTROP"</f>
        <v>CITY OF BASTROP</v>
      </c>
    </row>
    <row r="381" spans="1:8" x14ac:dyDescent="0.25">
      <c r="A381" t="s">
        <v>96</v>
      </c>
      <c r="B381">
        <v>138388</v>
      </c>
      <c r="C381" s="4">
        <v>750</v>
      </c>
      <c r="D381" s="1">
        <v>44557</v>
      </c>
      <c r="E381" t="str">
        <f>"202112177861"</f>
        <v>202112177861</v>
      </c>
      <c r="F381" t="str">
        <f>"RENTAL - PARKING LOT"</f>
        <v>RENTAL - PARKING LOT</v>
      </c>
      <c r="G381" s="4">
        <v>750</v>
      </c>
      <c r="H381" t="str">
        <f>"RENTAL - PARKING LOT"</f>
        <v>RENTAL - PARKING LOT</v>
      </c>
    </row>
    <row r="382" spans="1:8" x14ac:dyDescent="0.25">
      <c r="A382" t="s">
        <v>97</v>
      </c>
      <c r="B382">
        <v>138148</v>
      </c>
      <c r="C382" s="4">
        <v>2784.61</v>
      </c>
      <c r="D382" s="1">
        <v>44531</v>
      </c>
      <c r="E382" t="str">
        <f>"202112017499"</f>
        <v>202112017499</v>
      </c>
      <c r="F382" t="str">
        <f>"ACCT#007-0000388-000/11302021"</f>
        <v>ACCT#007-0000388-000/11302021</v>
      </c>
      <c r="G382" s="4">
        <v>566.08000000000004</v>
      </c>
      <c r="H382" t="str">
        <f>"ACCT#007-0000388-000/11302021"</f>
        <v>ACCT#007-0000388-000/11302021</v>
      </c>
    </row>
    <row r="383" spans="1:8" x14ac:dyDescent="0.25">
      <c r="E383" t="str">
        <f>"202112017500"</f>
        <v>202112017500</v>
      </c>
      <c r="F383" t="str">
        <f>"ACCT#007-0000389-000/11302021"</f>
        <v>ACCT#007-0000389-000/11302021</v>
      </c>
      <c r="G383" s="4">
        <v>78.819999999999993</v>
      </c>
      <c r="H383" t="str">
        <f>"ACCT#007-0000389-000/11302021"</f>
        <v>ACCT#007-0000389-000/11302021</v>
      </c>
    </row>
    <row r="384" spans="1:8" x14ac:dyDescent="0.25">
      <c r="E384" t="str">
        <f>"202112017501"</f>
        <v>202112017501</v>
      </c>
      <c r="F384" t="str">
        <f>"ACCT#044-0001240-000/11302021"</f>
        <v>ACCT#044-0001240-000/11302021</v>
      </c>
      <c r="G384" s="4">
        <v>412.78</v>
      </c>
      <c r="H384" t="str">
        <f>"ACCT#044-0001240-000/11302021"</f>
        <v>ACCT#044-0001240-000/11302021</v>
      </c>
    </row>
    <row r="385" spans="1:8" x14ac:dyDescent="0.25">
      <c r="E385" t="str">
        <f>"202112017502"</f>
        <v>202112017502</v>
      </c>
      <c r="F385" t="str">
        <f>"ACCT#044-0001250-000/11302021"</f>
        <v>ACCT#044-0001250-000/11302021</v>
      </c>
      <c r="G385" s="4">
        <v>129.09</v>
      </c>
      <c r="H385" t="str">
        <f>"ACCT#044-0001250-000/11302021"</f>
        <v>ACCT#044-0001250-000/11302021</v>
      </c>
    </row>
    <row r="386" spans="1:8" x14ac:dyDescent="0.25">
      <c r="E386" t="str">
        <f>"202112017503"</f>
        <v>202112017503</v>
      </c>
      <c r="F386" t="str">
        <f>"ACCT#044-0001252-000/11302021"</f>
        <v>ACCT#044-0001252-000/11302021</v>
      </c>
      <c r="G386" s="4">
        <v>1428.61</v>
      </c>
      <c r="H386" t="str">
        <f>"ACCT#044-0001252-000/11302021"</f>
        <v>ACCT#044-0001252-000/11302021</v>
      </c>
    </row>
    <row r="387" spans="1:8" x14ac:dyDescent="0.25">
      <c r="E387" t="str">
        <f>"202112017504"</f>
        <v>202112017504</v>
      </c>
      <c r="F387" t="str">
        <f>"ACCT#044-0001253-000/11302021"</f>
        <v>ACCT#044-0001253-000/11302021</v>
      </c>
      <c r="G387" s="4">
        <v>169.23</v>
      </c>
      <c r="H387" t="str">
        <f>"ACCT#044-0001253-000/11302021"</f>
        <v>ACCT#044-0001253-000/11302021</v>
      </c>
    </row>
    <row r="388" spans="1:8" x14ac:dyDescent="0.25">
      <c r="A388" t="s">
        <v>98</v>
      </c>
      <c r="B388">
        <v>5485</v>
      </c>
      <c r="C388" s="4">
        <v>589.28</v>
      </c>
      <c r="D388" s="1">
        <v>44544</v>
      </c>
      <c r="E388" t="str">
        <f>"PMA-0081975"</f>
        <v>PMA-0081975</v>
      </c>
      <c r="F388" t="str">
        <f>"AGREEMENT#PMA-010644"</f>
        <v>AGREEMENT#PMA-010644</v>
      </c>
      <c r="G388" s="4">
        <v>184.5</v>
      </c>
      <c r="H388" t="str">
        <f>"AGREEMENT#PMA-010644"</f>
        <v>AGREEMENT#PMA-010644</v>
      </c>
    </row>
    <row r="389" spans="1:8" x14ac:dyDescent="0.25">
      <c r="E389" t="str">
        <f>"SVC-0124324"</f>
        <v>SVC-0124324</v>
      </c>
      <c r="F389" t="str">
        <f>"INV SVC-0124324"</f>
        <v>INV SVC-0124324</v>
      </c>
      <c r="G389" s="4">
        <v>404.78</v>
      </c>
      <c r="H389" t="str">
        <f>"INV SVC-0124324"</f>
        <v>INV SVC-0124324</v>
      </c>
    </row>
    <row r="390" spans="1:8" x14ac:dyDescent="0.25">
      <c r="A390" t="s">
        <v>99</v>
      </c>
      <c r="B390">
        <v>5522</v>
      </c>
      <c r="C390" s="4">
        <v>28.4</v>
      </c>
      <c r="D390" s="1">
        <v>44544</v>
      </c>
      <c r="E390" t="str">
        <f>"1278-202110-0"</f>
        <v>1278-202110-0</v>
      </c>
      <c r="F390" t="str">
        <f>"INV 1278-202110-0"</f>
        <v>INV 1278-202110-0</v>
      </c>
      <c r="G390" s="4">
        <v>28.4</v>
      </c>
      <c r="H390" t="str">
        <f>"INV 1278-202110-0"</f>
        <v>INV 1278-202110-0</v>
      </c>
    </row>
    <row r="391" spans="1:8" x14ac:dyDescent="0.25">
      <c r="A391" t="s">
        <v>99</v>
      </c>
      <c r="B391">
        <v>5587</v>
      </c>
      <c r="C391" s="4">
        <v>581.9</v>
      </c>
      <c r="D391" s="1">
        <v>44558</v>
      </c>
      <c r="E391" t="str">
        <f>"1278-202107/2108/2"</f>
        <v>1278-202107/2108/2</v>
      </c>
      <c r="F391" t="str">
        <f>"INV 1278-202107-0  1278-2"</f>
        <v>INV 1278-202107-0  1278-2</v>
      </c>
      <c r="G391" s="4">
        <v>328</v>
      </c>
      <c r="H391" t="str">
        <f>"INV 1278-202107-0"</f>
        <v>INV 1278-202107-0</v>
      </c>
    </row>
    <row r="392" spans="1:8" x14ac:dyDescent="0.25">
      <c r="E392" t="str">
        <f>""</f>
        <v/>
      </c>
      <c r="F392" t="str">
        <f>""</f>
        <v/>
      </c>
      <c r="G392" s="4">
        <v>141.74</v>
      </c>
      <c r="H392" t="str">
        <f>"INV 1278-202108-0"</f>
        <v>INV 1278-202108-0</v>
      </c>
    </row>
    <row r="393" spans="1:8" x14ac:dyDescent="0.25">
      <c r="E393" t="str">
        <f>""</f>
        <v/>
      </c>
      <c r="F393" t="str">
        <f>""</f>
        <v/>
      </c>
      <c r="G393" s="4">
        <v>14.9</v>
      </c>
      <c r="H393" t="str">
        <f>"INV 1278-202111-0"</f>
        <v>INV 1278-202111-0</v>
      </c>
    </row>
    <row r="394" spans="1:8" x14ac:dyDescent="0.25">
      <c r="E394" t="str">
        <f>"202112207936"</f>
        <v>202112207936</v>
      </c>
      <c r="F394" t="str">
        <f>"INDIGENT HEALTH"</f>
        <v>INDIGENT HEALTH</v>
      </c>
      <c r="G394" s="4">
        <v>97.26</v>
      </c>
      <c r="H394" t="str">
        <f>"INDIGENT HEALTH"</f>
        <v>INDIGENT HEALTH</v>
      </c>
    </row>
    <row r="395" spans="1:8" x14ac:dyDescent="0.25">
      <c r="A395" t="s">
        <v>100</v>
      </c>
      <c r="B395">
        <v>138202</v>
      </c>
      <c r="C395" s="4">
        <v>330</v>
      </c>
      <c r="D395" s="1">
        <v>44543</v>
      </c>
      <c r="E395" t="str">
        <f>"202111297449"</f>
        <v>202111297449</v>
      </c>
      <c r="F395" t="str">
        <f>"FERAL HOGS"</f>
        <v>FERAL HOGS</v>
      </c>
      <c r="G395" s="4">
        <v>330</v>
      </c>
      <c r="H395" t="str">
        <f>"FERAL HOGS"</f>
        <v>FERAL HOGS</v>
      </c>
    </row>
    <row r="396" spans="1:8" x14ac:dyDescent="0.25">
      <c r="A396" t="s">
        <v>101</v>
      </c>
      <c r="B396">
        <v>138203</v>
      </c>
      <c r="C396" s="4">
        <v>445</v>
      </c>
      <c r="D396" s="1">
        <v>44543</v>
      </c>
      <c r="E396" t="str">
        <f>"221345-18-001"</f>
        <v>221345-18-001</v>
      </c>
      <c r="F396" t="str">
        <f>"INV 221345-18-001"</f>
        <v>INV 221345-18-001</v>
      </c>
      <c r="G396" s="4">
        <v>445</v>
      </c>
      <c r="H396" t="str">
        <f>"INV 221345-18-001"</f>
        <v>INV 221345-18-001</v>
      </c>
    </row>
    <row r="397" spans="1:8" x14ac:dyDescent="0.25">
      <c r="A397" t="s">
        <v>102</v>
      </c>
      <c r="B397">
        <v>138389</v>
      </c>
      <c r="C397" s="4">
        <v>150</v>
      </c>
      <c r="D397" s="1">
        <v>44557</v>
      </c>
      <c r="E397" t="str">
        <f>"202112197869"</f>
        <v>202112197869</v>
      </c>
      <c r="F397" t="str">
        <f>"BOND#01841496TX/OVER AXLE/WGHT"</f>
        <v>BOND#01841496TX/OVER AXLE/WGHT</v>
      </c>
      <c r="G397" s="4">
        <v>37.5</v>
      </c>
      <c r="H397" t="str">
        <f>"BOND#01841496TX/OVER AXLE/WGHT"</f>
        <v>BOND#01841496TX/OVER AXLE/WGHT</v>
      </c>
    </row>
    <row r="398" spans="1:8" x14ac:dyDescent="0.25">
      <c r="E398" t="str">
        <f>""</f>
        <v/>
      </c>
      <c r="F398" t="str">
        <f>""</f>
        <v/>
      </c>
      <c r="G398" s="4">
        <v>37.5</v>
      </c>
      <c r="H398" t="str">
        <f>"BOND#01841496TX/OVER AXLE/WGHT"</f>
        <v>BOND#01841496TX/OVER AXLE/WGHT</v>
      </c>
    </row>
    <row r="399" spans="1:8" x14ac:dyDescent="0.25">
      <c r="E399" t="str">
        <f>""</f>
        <v/>
      </c>
      <c r="F399" t="str">
        <f>""</f>
        <v/>
      </c>
      <c r="G399" s="4">
        <v>37.5</v>
      </c>
      <c r="H399" t="str">
        <f>"BOND#01841496TX/OVER AXLE/WGHT"</f>
        <v>BOND#01841496TX/OVER AXLE/WGHT</v>
      </c>
    </row>
    <row r="400" spans="1:8" x14ac:dyDescent="0.25">
      <c r="E400" t="str">
        <f>""</f>
        <v/>
      </c>
      <c r="F400" t="str">
        <f>""</f>
        <v/>
      </c>
      <c r="G400" s="4">
        <v>37.5</v>
      </c>
      <c r="H400" t="str">
        <f>"BOND#01841496TX/OVER AXLE/WGHT"</f>
        <v>BOND#01841496TX/OVER AXLE/WGHT</v>
      </c>
    </row>
    <row r="401" spans="1:8" x14ac:dyDescent="0.25">
      <c r="A401" t="s">
        <v>103</v>
      </c>
      <c r="B401">
        <v>138204</v>
      </c>
      <c r="C401" s="4">
        <v>27</v>
      </c>
      <c r="D401" s="1">
        <v>44543</v>
      </c>
      <c r="E401" t="str">
        <f>"13390  10/06/21"</f>
        <v>13390  10/06/21</v>
      </c>
      <c r="F401" t="str">
        <f>"SERVICE"</f>
        <v>SERVICE</v>
      </c>
      <c r="G401" s="4">
        <v>27</v>
      </c>
      <c r="H401" t="str">
        <f>"SERVICE"</f>
        <v>SERVICE</v>
      </c>
    </row>
    <row r="402" spans="1:8" x14ac:dyDescent="0.25">
      <c r="A402" t="s">
        <v>103</v>
      </c>
      <c r="B402">
        <v>138390</v>
      </c>
      <c r="C402" s="4">
        <v>25</v>
      </c>
      <c r="D402" s="1">
        <v>44557</v>
      </c>
      <c r="E402" t="str">
        <f>"13390  11/01/2021"</f>
        <v>13390  11/01/2021</v>
      </c>
      <c r="F402" t="str">
        <f>"SERVICE"</f>
        <v>SERVICE</v>
      </c>
      <c r="G402" s="4">
        <v>25</v>
      </c>
      <c r="H402" t="str">
        <f>"SERVICE"</f>
        <v>SERVICE</v>
      </c>
    </row>
    <row r="403" spans="1:8" x14ac:dyDescent="0.25">
      <c r="A403" t="s">
        <v>104</v>
      </c>
      <c r="B403">
        <v>5489</v>
      </c>
      <c r="C403" s="4">
        <v>502</v>
      </c>
      <c r="D403" s="1">
        <v>44544</v>
      </c>
      <c r="E403" t="str">
        <f>"7902132863"</f>
        <v>7902132863</v>
      </c>
      <c r="F403" t="str">
        <f>"INV 7902132863"</f>
        <v>INV 7902132863</v>
      </c>
      <c r="G403" s="4">
        <v>502</v>
      </c>
      <c r="H403" t="str">
        <f>"INV 7902132863"</f>
        <v>INV 7902132863</v>
      </c>
    </row>
    <row r="404" spans="1:8" x14ac:dyDescent="0.25">
      <c r="A404" t="s">
        <v>105</v>
      </c>
      <c r="B404">
        <v>138205</v>
      </c>
      <c r="C404" s="4">
        <v>2171.25</v>
      </c>
      <c r="D404" s="1">
        <v>44543</v>
      </c>
      <c r="E404" t="str">
        <f>"806"</f>
        <v>806</v>
      </c>
      <c r="F404" t="str">
        <f>"SERVICES - NOVEMBER 2021"</f>
        <v>SERVICES - NOVEMBER 2021</v>
      </c>
      <c r="G404" s="4">
        <v>2171.25</v>
      </c>
      <c r="H404" t="str">
        <f>"SERVICES - NOVEMBER 2021"</f>
        <v>SERVICES - NOVEMBER 2021</v>
      </c>
    </row>
    <row r="405" spans="1:8" x14ac:dyDescent="0.25">
      <c r="A405" t="s">
        <v>106</v>
      </c>
      <c r="B405">
        <v>138206</v>
      </c>
      <c r="C405" s="4">
        <v>180</v>
      </c>
      <c r="D405" s="1">
        <v>44543</v>
      </c>
      <c r="E405" t="str">
        <f>"202112027606"</f>
        <v>202112027606</v>
      </c>
      <c r="F405" t="str">
        <f>"PER DIEM - CONFERENCE"</f>
        <v>PER DIEM - CONFERENCE</v>
      </c>
      <c r="G405" s="4">
        <v>180</v>
      </c>
      <c r="H405" t="str">
        <f>"PER DIEM - CONFERENCE"</f>
        <v>PER DIEM - CONFERENCE</v>
      </c>
    </row>
    <row r="406" spans="1:8" x14ac:dyDescent="0.25">
      <c r="A406" t="s">
        <v>107</v>
      </c>
      <c r="B406">
        <v>138207</v>
      </c>
      <c r="C406" s="4">
        <v>35</v>
      </c>
      <c r="D406" s="1">
        <v>44543</v>
      </c>
      <c r="E406" t="s">
        <v>108</v>
      </c>
      <c r="F406" s="4" t="str">
        <f>"RESTITUTION - KATHY PURCELL"</f>
        <v>RESTITUTION - KATHY PURCELL</v>
      </c>
      <c r="G406" s="4">
        <v>35</v>
      </c>
      <c r="H406" t="str">
        <f>"RESTITUTION - KATHY PURCELL"</f>
        <v>RESTITUTION - KATHY PURCELL</v>
      </c>
    </row>
    <row r="407" spans="1:8" x14ac:dyDescent="0.25">
      <c r="A407" t="s">
        <v>109</v>
      </c>
      <c r="B407">
        <v>5521</v>
      </c>
      <c r="C407" s="4">
        <v>1018.6</v>
      </c>
      <c r="D407" s="1">
        <v>44544</v>
      </c>
      <c r="E407" t="str">
        <f>"WS21506"</f>
        <v>WS21506</v>
      </c>
      <c r="F407" t="str">
        <f>"PARTS &amp; LABOR PCT#3"</f>
        <v>PARTS &amp; LABOR PCT#3</v>
      </c>
      <c r="G407" s="4">
        <v>1018.6</v>
      </c>
      <c r="H407" t="str">
        <f>"PARTS &amp; LABOR PCT#3"</f>
        <v>PARTS &amp; LABOR PCT#3</v>
      </c>
    </row>
    <row r="408" spans="1:8" x14ac:dyDescent="0.25">
      <c r="A408" t="s">
        <v>56</v>
      </c>
      <c r="B408">
        <v>138291</v>
      </c>
      <c r="C408" s="4">
        <v>305</v>
      </c>
      <c r="D408" s="1">
        <v>44543</v>
      </c>
      <c r="E408" t="str">
        <f>"202112087723"</f>
        <v>202112087723</v>
      </c>
      <c r="F408" t="str">
        <f>"DEVELOPMENT SVCS RECORDING FEE"</f>
        <v>DEVELOPMENT SVCS RECORDING FEE</v>
      </c>
      <c r="G408" s="4">
        <v>305</v>
      </c>
      <c r="H408" t="str">
        <f>"DEVELOPMENT SVCS RECORDING FEE"</f>
        <v>DEVELOPMENT SVCS RECORDING FEE</v>
      </c>
    </row>
    <row r="409" spans="1:8" x14ac:dyDescent="0.25">
      <c r="A409" t="s">
        <v>110</v>
      </c>
      <c r="B409">
        <v>138391</v>
      </c>
      <c r="C409" s="4">
        <v>150</v>
      </c>
      <c r="D409" s="1">
        <v>44557</v>
      </c>
      <c r="E409" t="str">
        <f>"13174"</f>
        <v>13174</v>
      </c>
      <c r="F409" t="str">
        <f>"SERVICE"</f>
        <v>SERVICE</v>
      </c>
      <c r="G409" s="4">
        <v>150</v>
      </c>
      <c r="H409" t="str">
        <f>"SERVICE"</f>
        <v>SERVICE</v>
      </c>
    </row>
    <row r="410" spans="1:8" x14ac:dyDescent="0.25">
      <c r="A410" t="s">
        <v>111</v>
      </c>
      <c r="B410">
        <v>138208</v>
      </c>
      <c r="C410" s="4">
        <v>1600.91</v>
      </c>
      <c r="D410" s="1">
        <v>44543</v>
      </c>
      <c r="E410" t="str">
        <f>"VS20344"</f>
        <v>VS20344</v>
      </c>
      <c r="F410" t="str">
        <f>"ACCT#68930/ANIMAL SVCS"</f>
        <v>ACCT#68930/ANIMAL SVCS</v>
      </c>
      <c r="G410" s="4">
        <v>222.81</v>
      </c>
      <c r="H410" t="str">
        <f>"ACCT#68930/ANIMAL SVCS"</f>
        <v>ACCT#68930/ANIMAL SVCS</v>
      </c>
    </row>
    <row r="411" spans="1:8" x14ac:dyDescent="0.25">
      <c r="E411" t="str">
        <f>"VS61485"</f>
        <v>VS61485</v>
      </c>
      <c r="F411" t="str">
        <f>"ACCT#68930/ANIMAL SVCS"</f>
        <v>ACCT#68930/ANIMAL SVCS</v>
      </c>
      <c r="G411" s="4">
        <v>332</v>
      </c>
      <c r="H411" t="str">
        <f>"ACCT#68930/ANIMAL SVCS"</f>
        <v>ACCT#68930/ANIMAL SVCS</v>
      </c>
    </row>
    <row r="412" spans="1:8" x14ac:dyDescent="0.25">
      <c r="E412" t="str">
        <f>"VS65077"</f>
        <v>VS65077</v>
      </c>
      <c r="F412" t="str">
        <f>"ACCT#68930/ANIMAL SVCS"</f>
        <v>ACCT#68930/ANIMAL SVCS</v>
      </c>
      <c r="G412" s="4">
        <v>500.21</v>
      </c>
      <c r="H412" t="str">
        <f>"ACCT#68930/ANIMAL SVCS"</f>
        <v>ACCT#68930/ANIMAL SVCS</v>
      </c>
    </row>
    <row r="413" spans="1:8" x14ac:dyDescent="0.25">
      <c r="E413" t="str">
        <f>"VS65246"</f>
        <v>VS65246</v>
      </c>
      <c r="F413" t="str">
        <f>"ACCT#68930/ANIMAL SVCS"</f>
        <v>ACCT#68930/ANIMAL SVCS</v>
      </c>
      <c r="G413" s="4">
        <v>110</v>
      </c>
      <c r="H413" t="str">
        <f>"ACCT#68930/ANIMAL SVCS"</f>
        <v>ACCT#68930/ANIMAL SVCS</v>
      </c>
    </row>
    <row r="414" spans="1:8" x14ac:dyDescent="0.25">
      <c r="E414" t="str">
        <f>"VS73515"</f>
        <v>VS73515</v>
      </c>
      <c r="F414" t="str">
        <f>"ACCT#68930/ANIMAL SVCS"</f>
        <v>ACCT#68930/ANIMAL SVCS</v>
      </c>
      <c r="G414" s="4">
        <v>435.89</v>
      </c>
      <c r="H414" t="str">
        <f>"ACCT#68930/ANIMAL SVCS"</f>
        <v>ACCT#68930/ANIMAL SVCS</v>
      </c>
    </row>
    <row r="415" spans="1:8" x14ac:dyDescent="0.25">
      <c r="A415" t="s">
        <v>112</v>
      </c>
      <c r="B415">
        <v>138209</v>
      </c>
      <c r="C415" s="4">
        <v>25</v>
      </c>
      <c r="D415" s="1">
        <v>44543</v>
      </c>
      <c r="E415" t="s">
        <v>113</v>
      </c>
      <c r="F415" s="4" t="str">
        <f>"RESTITUTION - MARCUS MANZANARE"</f>
        <v>RESTITUTION - MARCUS MANZANARE</v>
      </c>
      <c r="G415" s="4">
        <v>25</v>
      </c>
      <c r="H415" t="str">
        <f>"RESTITUTION - MARCUS MANZANARE"</f>
        <v>RESTITUTION - MARCUS MANZANARE</v>
      </c>
    </row>
    <row r="416" spans="1:8" x14ac:dyDescent="0.25">
      <c r="A416" t="s">
        <v>114</v>
      </c>
      <c r="B416">
        <v>138392</v>
      </c>
      <c r="C416" s="4">
        <v>900</v>
      </c>
      <c r="D416" s="1">
        <v>44557</v>
      </c>
      <c r="E416" t="str">
        <f>"202112197888"</f>
        <v>202112197888</v>
      </c>
      <c r="F416" t="str">
        <f>"TRAINING"</f>
        <v>TRAINING</v>
      </c>
      <c r="G416" s="4">
        <v>900</v>
      </c>
      <c r="H416" t="str">
        <f>"TRAINING"</f>
        <v>TRAINING</v>
      </c>
    </row>
    <row r="417" spans="1:8" x14ac:dyDescent="0.25">
      <c r="A417" t="s">
        <v>115</v>
      </c>
      <c r="B417">
        <v>138393</v>
      </c>
      <c r="C417" s="4">
        <v>320</v>
      </c>
      <c r="D417" s="1">
        <v>44557</v>
      </c>
      <c r="E417" t="str">
        <f>"13364"</f>
        <v>13364</v>
      </c>
      <c r="F417" t="str">
        <f>"SERVICE"</f>
        <v>SERVICE</v>
      </c>
      <c r="G417" s="4">
        <v>160</v>
      </c>
      <c r="H417" t="str">
        <f>"SERVICE"</f>
        <v>SERVICE</v>
      </c>
    </row>
    <row r="418" spans="1:8" x14ac:dyDescent="0.25">
      <c r="E418" t="str">
        <f>"13412"</f>
        <v>13412</v>
      </c>
      <c r="F418" t="str">
        <f>"SERVICE"</f>
        <v>SERVICE</v>
      </c>
      <c r="G418" s="4">
        <v>80</v>
      </c>
      <c r="H418" t="str">
        <f>"SERVICE"</f>
        <v>SERVICE</v>
      </c>
    </row>
    <row r="419" spans="1:8" x14ac:dyDescent="0.25">
      <c r="E419" t="str">
        <f>"13735"</f>
        <v>13735</v>
      </c>
      <c r="F419" t="str">
        <f>"SERVICE"</f>
        <v>SERVICE</v>
      </c>
      <c r="G419" s="4">
        <v>80</v>
      </c>
      <c r="H419" t="str">
        <f>"SERVICE"</f>
        <v>SERVICE</v>
      </c>
    </row>
    <row r="420" spans="1:8" x14ac:dyDescent="0.25">
      <c r="A420" t="s">
        <v>116</v>
      </c>
      <c r="B420">
        <v>5516</v>
      </c>
      <c r="C420" s="4">
        <v>5175</v>
      </c>
      <c r="D420" s="1">
        <v>44544</v>
      </c>
      <c r="E420" t="str">
        <f>"202112027589"</f>
        <v>202112027589</v>
      </c>
      <c r="F420" t="str">
        <f>"17092"</f>
        <v>17092</v>
      </c>
      <c r="G420" s="4">
        <v>3975</v>
      </c>
      <c r="H420" t="str">
        <f>"17092"</f>
        <v>17092</v>
      </c>
    </row>
    <row r="421" spans="1:8" x14ac:dyDescent="0.25">
      <c r="E421" t="str">
        <f>"202112027590"</f>
        <v>202112027590</v>
      </c>
      <c r="F421" t="str">
        <f>"17 279 17 266"</f>
        <v>17 279 17 266</v>
      </c>
      <c r="G421" s="4">
        <v>800</v>
      </c>
      <c r="H421" t="str">
        <f>"17 279 17 266"</f>
        <v>17 279 17 266</v>
      </c>
    </row>
    <row r="422" spans="1:8" x14ac:dyDescent="0.25">
      <c r="E422" t="str">
        <f>"202112027591"</f>
        <v>202112027591</v>
      </c>
      <c r="F422" t="str">
        <f>"20506624"</f>
        <v>20506624</v>
      </c>
      <c r="G422" s="4">
        <v>400</v>
      </c>
      <c r="H422" t="str">
        <f>"20506624"</f>
        <v>20506624</v>
      </c>
    </row>
    <row r="423" spans="1:8" x14ac:dyDescent="0.25">
      <c r="A423" t="s">
        <v>117</v>
      </c>
      <c r="B423">
        <v>5519</v>
      </c>
      <c r="C423" s="4">
        <v>100</v>
      </c>
      <c r="D423" s="1">
        <v>44544</v>
      </c>
      <c r="E423" t="str">
        <f>"202112027648"</f>
        <v>202112027648</v>
      </c>
      <c r="F423" t="str">
        <f>"LEGAL CONSULT SVCS - NOVEMBER"</f>
        <v>LEGAL CONSULT SVCS - NOVEMBER</v>
      </c>
      <c r="G423" s="4">
        <v>100</v>
      </c>
      <c r="H423" t="str">
        <f>"LEGAL CONSULT SVCS - NOVEMBER"</f>
        <v>LEGAL CONSULT SVCS - NOVEMBER</v>
      </c>
    </row>
    <row r="424" spans="1:8" x14ac:dyDescent="0.25">
      <c r="A424" t="s">
        <v>118</v>
      </c>
      <c r="B424">
        <v>138210</v>
      </c>
      <c r="C424" s="4">
        <v>70</v>
      </c>
      <c r="D424" s="1">
        <v>44543</v>
      </c>
      <c r="E424" t="str">
        <f>"202111297447"</f>
        <v>202111297447</v>
      </c>
      <c r="F424" t="str">
        <f>"FERAL HOGS"</f>
        <v>FERAL HOGS</v>
      </c>
      <c r="G424" s="4">
        <v>70</v>
      </c>
      <c r="H424" t="str">
        <f>"FERAL HOGS"</f>
        <v>FERAL HOGS</v>
      </c>
    </row>
    <row r="425" spans="1:8" x14ac:dyDescent="0.25">
      <c r="A425" t="s">
        <v>119</v>
      </c>
      <c r="B425">
        <v>138211</v>
      </c>
      <c r="C425" s="4">
        <v>180</v>
      </c>
      <c r="D425" s="1">
        <v>44543</v>
      </c>
      <c r="E425" t="str">
        <f>"202112027608"</f>
        <v>202112027608</v>
      </c>
      <c r="F425" t="str">
        <f>"PER DIEM - CONFERENCE"</f>
        <v>PER DIEM - CONFERENCE</v>
      </c>
      <c r="G425" s="4">
        <v>180</v>
      </c>
      <c r="H425" t="str">
        <f>"PER DIEM - CONFERENCE"</f>
        <v>PER DIEM - CONFERENCE</v>
      </c>
    </row>
    <row r="426" spans="1:8" x14ac:dyDescent="0.25">
      <c r="A426" t="s">
        <v>120</v>
      </c>
      <c r="B426">
        <v>5494</v>
      </c>
      <c r="C426" s="4">
        <v>1612.5</v>
      </c>
      <c r="D426" s="1">
        <v>44544</v>
      </c>
      <c r="E426" t="str">
        <f>"202111307485"</f>
        <v>202111307485</v>
      </c>
      <c r="F426" t="str">
        <f>"20-20030"</f>
        <v>20-20030</v>
      </c>
      <c r="G426" s="4">
        <v>1612.5</v>
      </c>
      <c r="H426" t="str">
        <f>"20-20030"</f>
        <v>20-20030</v>
      </c>
    </row>
    <row r="427" spans="1:8" x14ac:dyDescent="0.25">
      <c r="A427" t="s">
        <v>120</v>
      </c>
      <c r="B427">
        <v>5567</v>
      </c>
      <c r="C427" s="4">
        <v>350</v>
      </c>
      <c r="D427" s="1">
        <v>44558</v>
      </c>
      <c r="E427" t="str">
        <f>"202112197914"</f>
        <v>202112197914</v>
      </c>
      <c r="F427" t="str">
        <f>"423-5800"</f>
        <v>423-5800</v>
      </c>
      <c r="G427" s="4">
        <v>250</v>
      </c>
      <c r="H427" t="str">
        <f>"423-5800"</f>
        <v>423-5800</v>
      </c>
    </row>
    <row r="428" spans="1:8" x14ac:dyDescent="0.25">
      <c r="E428" t="str">
        <f>"202112197915"</f>
        <v>202112197915</v>
      </c>
      <c r="F428" t="str">
        <f>"423-8223"</f>
        <v>423-8223</v>
      </c>
      <c r="G428" s="4">
        <v>100</v>
      </c>
      <c r="H428" t="str">
        <f>"423-8223"</f>
        <v>423-8223</v>
      </c>
    </row>
    <row r="429" spans="1:8" x14ac:dyDescent="0.25">
      <c r="A429" t="s">
        <v>121</v>
      </c>
      <c r="B429">
        <v>138212</v>
      </c>
      <c r="C429" s="4">
        <v>1903.04</v>
      </c>
      <c r="D429" s="1">
        <v>44543</v>
      </c>
      <c r="E429" t="str">
        <f>"2350641"</f>
        <v>2350641</v>
      </c>
      <c r="F429" t="str">
        <f>"INV 2350641  229170154  2"</f>
        <v>INV 2350641  229170154  2</v>
      </c>
      <c r="G429" s="4">
        <v>525.84</v>
      </c>
      <c r="H429" t="str">
        <f>"INV 2350641"</f>
        <v>INV 2350641</v>
      </c>
    </row>
    <row r="430" spans="1:8" x14ac:dyDescent="0.25">
      <c r="E430" t="str">
        <f>""</f>
        <v/>
      </c>
      <c r="F430" t="str">
        <f>""</f>
        <v/>
      </c>
      <c r="G430" s="4">
        <v>651.04</v>
      </c>
      <c r="H430" t="str">
        <f>"INV 229170154"</f>
        <v>INV 229170154</v>
      </c>
    </row>
    <row r="431" spans="1:8" x14ac:dyDescent="0.25">
      <c r="E431" t="str">
        <f>""</f>
        <v/>
      </c>
      <c r="F431" t="str">
        <f>""</f>
        <v/>
      </c>
      <c r="G431" s="4">
        <v>726.16</v>
      </c>
      <c r="H431" t="str">
        <f>"INV 229182672"</f>
        <v>INV 229182672</v>
      </c>
    </row>
    <row r="432" spans="1:8" x14ac:dyDescent="0.25">
      <c r="A432" t="s">
        <v>121</v>
      </c>
      <c r="B432">
        <v>138394</v>
      </c>
      <c r="C432" s="4">
        <v>481.75</v>
      </c>
      <c r="D432" s="1">
        <v>44557</v>
      </c>
      <c r="E432" t="str">
        <f>"229196798"</f>
        <v>229196798</v>
      </c>
      <c r="F432" t="str">
        <f>"INV 229196798"</f>
        <v>INV 229196798</v>
      </c>
      <c r="G432" s="4">
        <v>481.75</v>
      </c>
      <c r="H432" t="str">
        <f>"INV 229196798"</f>
        <v>INV 229196798</v>
      </c>
    </row>
    <row r="433" spans="1:8" x14ac:dyDescent="0.25">
      <c r="A433" t="s">
        <v>122</v>
      </c>
      <c r="B433">
        <v>138213</v>
      </c>
      <c r="C433" s="4">
        <v>703.9</v>
      </c>
      <c r="D433" s="1">
        <v>44543</v>
      </c>
      <c r="E433" t="str">
        <f>"10536353082"</f>
        <v>10536353082</v>
      </c>
      <c r="F433" t="str">
        <f>"DELL 256GB SSD PRO HXS"</f>
        <v>DELL 256GB SSD PRO HXS</v>
      </c>
      <c r="G433" s="4">
        <v>703.9</v>
      </c>
      <c r="H433" t="str">
        <f>"DELL 256GB SSD PRO HXS"</f>
        <v>DELL 256GB SSD PRO HXS</v>
      </c>
    </row>
    <row r="434" spans="1:8" x14ac:dyDescent="0.25">
      <c r="A434" t="s">
        <v>122</v>
      </c>
      <c r="B434">
        <v>138395</v>
      </c>
      <c r="C434" s="4">
        <v>883.38</v>
      </c>
      <c r="D434" s="1">
        <v>44557</v>
      </c>
      <c r="E434" t="str">
        <f>"202112197901"</f>
        <v>202112197901</v>
      </c>
      <c r="F434" t="str">
        <f>"Monitors and Keyboard"</f>
        <v>Monitors and Keyboard</v>
      </c>
      <c r="G434" s="4">
        <v>100.29</v>
      </c>
      <c r="H434" t="str">
        <f>"DELLKeyboard &amp; Mouse"</f>
        <v>DELLKeyboard &amp; Mouse</v>
      </c>
    </row>
    <row r="435" spans="1:8" x14ac:dyDescent="0.25">
      <c r="E435" t="str">
        <f>""</f>
        <v/>
      </c>
      <c r="F435" t="str">
        <f>""</f>
        <v/>
      </c>
      <c r="G435" s="4">
        <v>732.57</v>
      </c>
      <c r="H435" t="str">
        <f>"DELL 24 Monitors"</f>
        <v>DELL 24 Monitors</v>
      </c>
    </row>
    <row r="436" spans="1:8" x14ac:dyDescent="0.25">
      <c r="E436" t="str">
        <f>"202112197906"</f>
        <v>202112197906</v>
      </c>
      <c r="F436" t="str">
        <f>"DELL"</f>
        <v>DELL</v>
      </c>
      <c r="G436" s="4">
        <v>33.43</v>
      </c>
      <c r="H436" t="str">
        <f>"Key Board and Mouse"</f>
        <v>Key Board and Mouse</v>
      </c>
    </row>
    <row r="437" spans="1:8" x14ac:dyDescent="0.25">
      <c r="E437" t="str">
        <f>"202112197907"</f>
        <v>202112197907</v>
      </c>
      <c r="F437" t="str">
        <f>"Adapter for Adena Lewis"</f>
        <v>Adapter for Adena Lewis</v>
      </c>
      <c r="G437" s="4">
        <v>17.09</v>
      </c>
      <c r="H437" t="str">
        <f>"Adapter for Adena Lewis"</f>
        <v>Adapter for Adena Lewis</v>
      </c>
    </row>
    <row r="438" spans="1:8" x14ac:dyDescent="0.25">
      <c r="A438" t="s">
        <v>123</v>
      </c>
      <c r="B438">
        <v>138396</v>
      </c>
      <c r="C438" s="4">
        <v>13687.05</v>
      </c>
      <c r="D438" s="1">
        <v>44557</v>
      </c>
      <c r="E438" t="str">
        <f>"202112207937"</f>
        <v>202112207937</v>
      </c>
      <c r="F438" t="str">
        <f>"INDIGENT HEALTH"</f>
        <v>INDIGENT HEALTH</v>
      </c>
      <c r="G438" s="4">
        <v>13687.05</v>
      </c>
      <c r="H438" t="str">
        <f>"INDIGENT HEALTH"</f>
        <v>INDIGENT HEALTH</v>
      </c>
    </row>
    <row r="439" spans="1:8" x14ac:dyDescent="0.25">
      <c r="A439" t="s">
        <v>124</v>
      </c>
      <c r="B439">
        <v>5523</v>
      </c>
      <c r="C439" s="4">
        <v>1598.75</v>
      </c>
      <c r="D439" s="1">
        <v>44544</v>
      </c>
      <c r="E439" t="str">
        <f>"BATX017611"</f>
        <v>BATX017611</v>
      </c>
      <c r="F439" t="str">
        <f>"INV BATX017611"</f>
        <v>INV BATX017611</v>
      </c>
      <c r="G439" s="4">
        <v>1598.75</v>
      </c>
      <c r="H439" t="str">
        <f>"INV BATX017611"</f>
        <v>INV BATX017611</v>
      </c>
    </row>
    <row r="440" spans="1:8" x14ac:dyDescent="0.25">
      <c r="A440" t="s">
        <v>125</v>
      </c>
      <c r="B440">
        <v>138397</v>
      </c>
      <c r="C440" s="4">
        <v>2500</v>
      </c>
      <c r="D440" s="1">
        <v>44557</v>
      </c>
      <c r="E440" t="str">
        <f>"202112167809"</f>
        <v>202112167809</v>
      </c>
      <c r="F440" t="str">
        <f>"CAP MURDER"</f>
        <v>CAP MURDER</v>
      </c>
      <c r="G440" s="4">
        <v>2500</v>
      </c>
      <c r="H440" t="str">
        <f>"CAP MURDER"</f>
        <v>CAP MURDER</v>
      </c>
    </row>
    <row r="441" spans="1:8" x14ac:dyDescent="0.25">
      <c r="A441" t="s">
        <v>126</v>
      </c>
      <c r="B441">
        <v>138214</v>
      </c>
      <c r="C441" s="4">
        <v>19138.46</v>
      </c>
      <c r="D441" s="1">
        <v>44543</v>
      </c>
      <c r="E441" t="str">
        <f>"22101107N"</f>
        <v>22101107N</v>
      </c>
      <c r="F441" t="str">
        <f>"CUST#PKE5000/OCTOBER"</f>
        <v>CUST#PKE5000/OCTOBER</v>
      </c>
      <c r="G441" s="4">
        <v>19138.46</v>
      </c>
      <c r="H441" t="str">
        <f>"CUST#PKE5000/OCTOBER"</f>
        <v>CUST#PKE5000/OCTOBER</v>
      </c>
    </row>
    <row r="442" spans="1:8" x14ac:dyDescent="0.25">
      <c r="A442" t="s">
        <v>127</v>
      </c>
      <c r="B442">
        <v>138215</v>
      </c>
      <c r="C442" s="4">
        <v>53.22</v>
      </c>
      <c r="D442" s="1">
        <v>44543</v>
      </c>
      <c r="E442" t="str">
        <f>"36005"</f>
        <v>36005</v>
      </c>
      <c r="F442" t="str">
        <f>"CUTTING CHARGE/PCT#4"</f>
        <v>CUTTING CHARGE/PCT#4</v>
      </c>
      <c r="G442" s="4">
        <v>53.22</v>
      </c>
      <c r="H442" t="str">
        <f>"CUTTING CHARGE/PCT#4"</f>
        <v>CUTTING CHARGE/PCT#4</v>
      </c>
    </row>
    <row r="443" spans="1:8" x14ac:dyDescent="0.25">
      <c r="A443" t="s">
        <v>128</v>
      </c>
      <c r="B443">
        <v>138398</v>
      </c>
      <c r="C443" s="4">
        <v>1528.82</v>
      </c>
      <c r="D443" s="1">
        <v>44557</v>
      </c>
      <c r="E443" t="str">
        <f>"2946962"</f>
        <v>2946962</v>
      </c>
      <c r="F443" t="str">
        <f>"ACCT#27917/PCT#4"</f>
        <v>ACCT#27917/PCT#4</v>
      </c>
      <c r="G443" s="4">
        <v>1182.1199999999999</v>
      </c>
      <c r="H443" t="str">
        <f>"ACCT#27917/PCT#4"</f>
        <v>ACCT#27917/PCT#4</v>
      </c>
    </row>
    <row r="444" spans="1:8" x14ac:dyDescent="0.25">
      <c r="E444" t="str">
        <f>"2950561"</f>
        <v>2950561</v>
      </c>
      <c r="F444" t="str">
        <f>"ACCT#27917/DEVELOPMENT SVCS"</f>
        <v>ACCT#27917/DEVELOPMENT SVCS</v>
      </c>
      <c r="G444" s="4">
        <v>346.7</v>
      </c>
      <c r="H444" t="str">
        <f>"ACCT#27917/DEVELOPMENT SVCS"</f>
        <v>ACCT#27917/DEVELOPMENT SVCS</v>
      </c>
    </row>
    <row r="445" spans="1:8" x14ac:dyDescent="0.25">
      <c r="A445" t="s">
        <v>129</v>
      </c>
      <c r="B445">
        <v>138216</v>
      </c>
      <c r="C445" s="4">
        <v>75</v>
      </c>
      <c r="D445" s="1">
        <v>44543</v>
      </c>
      <c r="E445" t="str">
        <f>"202111297445"</f>
        <v>202111297445</v>
      </c>
      <c r="F445" t="str">
        <f>"FERAL HOGS"</f>
        <v>FERAL HOGS</v>
      </c>
      <c r="G445" s="4">
        <v>10</v>
      </c>
      <c r="H445" t="str">
        <f>"FERAL HOGS"</f>
        <v>FERAL HOGS</v>
      </c>
    </row>
    <row r="446" spans="1:8" x14ac:dyDescent="0.25">
      <c r="E446" t="str">
        <f>"202111297446"</f>
        <v>202111297446</v>
      </c>
      <c r="F446" t="str">
        <f>"FERAL HOGS"</f>
        <v>FERAL HOGS</v>
      </c>
      <c r="G446" s="4">
        <v>65</v>
      </c>
      <c r="H446" t="str">
        <f>"FERAL HOGS"</f>
        <v>FERAL HOGS</v>
      </c>
    </row>
    <row r="447" spans="1:8" x14ac:dyDescent="0.25">
      <c r="A447" t="s">
        <v>130</v>
      </c>
      <c r="B447">
        <v>138217</v>
      </c>
      <c r="C447" s="4">
        <v>315</v>
      </c>
      <c r="D447" s="1">
        <v>44543</v>
      </c>
      <c r="E447" t="str">
        <f>"202111307497"</f>
        <v>202111307497</v>
      </c>
      <c r="F447" t="str">
        <f>"REIMBURSEMENT/PER DIEM/CONF"</f>
        <v>REIMBURSEMENT/PER DIEM/CONF</v>
      </c>
      <c r="G447" s="4">
        <v>315</v>
      </c>
      <c r="H447" t="str">
        <f>"REIMBURSEMENT/PER DIEM/CONF"</f>
        <v>REIMBURSEMENT/PER DIEM/CONF</v>
      </c>
    </row>
    <row r="448" spans="1:8" x14ac:dyDescent="0.25">
      <c r="A448" t="s">
        <v>131</v>
      </c>
      <c r="B448">
        <v>138509</v>
      </c>
      <c r="C448" s="4">
        <v>749.4</v>
      </c>
      <c r="D448" s="1">
        <v>44559</v>
      </c>
      <c r="E448" t="str">
        <f>"202112297975"</f>
        <v>202112297975</v>
      </c>
      <c r="F448" t="str">
        <f>"ACCT#405900029213 / 01312022"</f>
        <v>ACCT#405900029213 / 01312022</v>
      </c>
      <c r="G448" s="4">
        <v>374.7</v>
      </c>
      <c r="H448" t="str">
        <f>"ACCT#405900029213 / 01312022"</f>
        <v>ACCT#405900029213 / 01312022</v>
      </c>
    </row>
    <row r="449" spans="1:8" x14ac:dyDescent="0.25">
      <c r="E449" t="str">
        <f>"202112297976"</f>
        <v>202112297976</v>
      </c>
      <c r="F449" t="str">
        <f>"ACCT#405900029225 / 01312022"</f>
        <v>ACCT#405900029225 / 01312022</v>
      </c>
      <c r="G449" s="4">
        <v>187.35</v>
      </c>
      <c r="H449" t="str">
        <f>"ACCT#405900029225 / 01312022"</f>
        <v>ACCT#405900029225 / 01312022</v>
      </c>
    </row>
    <row r="450" spans="1:8" x14ac:dyDescent="0.25">
      <c r="E450" t="str">
        <f>"202112297977"</f>
        <v>202112297977</v>
      </c>
      <c r="F450" t="str">
        <f>"ACCT#405900028789 / 01312022"</f>
        <v>ACCT#405900028789 / 01312022</v>
      </c>
      <c r="G450" s="4">
        <v>187.35</v>
      </c>
      <c r="H450" t="str">
        <f>"ACCT#405900028789 / 01312022"</f>
        <v>ACCT#405900028789 / 01312022</v>
      </c>
    </row>
    <row r="451" spans="1:8" x14ac:dyDescent="0.25">
      <c r="A451" t="s">
        <v>132</v>
      </c>
      <c r="B451">
        <v>138218</v>
      </c>
      <c r="C451" s="4">
        <v>25</v>
      </c>
      <c r="D451" s="1">
        <v>44543</v>
      </c>
      <c r="E451" t="s">
        <v>113</v>
      </c>
      <c r="F451" s="4" t="str">
        <f>"RESTITUTION -  MARCUS MANZANRE"</f>
        <v>RESTITUTION -  MARCUS MANZANRE</v>
      </c>
      <c r="G451" s="4">
        <v>25</v>
      </c>
      <c r="H451" t="str">
        <f>"RESTITUTION -  MARCUS MANZANRE"</f>
        <v>RESTITUTION -  MARCUS MANZANRE</v>
      </c>
    </row>
    <row r="452" spans="1:8" x14ac:dyDescent="0.25">
      <c r="A452" t="s">
        <v>133</v>
      </c>
      <c r="B452">
        <v>5504</v>
      </c>
      <c r="C452" s="4">
        <v>4667.8900000000003</v>
      </c>
      <c r="D452" s="1">
        <v>44544</v>
      </c>
      <c r="E452" t="str">
        <f>"30149C"</f>
        <v>30149C</v>
      </c>
      <c r="F452" t="str">
        <f>"INV 30149C"</f>
        <v>INV 30149C</v>
      </c>
      <c r="G452" s="4">
        <v>4667.8900000000003</v>
      </c>
      <c r="H452" t="str">
        <f>"INV 30149C"</f>
        <v>INV 30149C</v>
      </c>
    </row>
    <row r="453" spans="1:8" x14ac:dyDescent="0.25">
      <c r="A453" t="s">
        <v>134</v>
      </c>
      <c r="B453">
        <v>138219</v>
      </c>
      <c r="C453" s="4">
        <v>98.5</v>
      </c>
      <c r="D453" s="1">
        <v>44543</v>
      </c>
      <c r="E453" t="str">
        <f>"43258"</f>
        <v>43258</v>
      </c>
      <c r="F453" t="str">
        <f>"MESH TARP PCT#3"</f>
        <v>MESH TARP PCT#3</v>
      </c>
      <c r="G453" s="4">
        <v>98.5</v>
      </c>
      <c r="H453" t="str">
        <f>"MESH TARP PCT#3"</f>
        <v>MESH TARP PCT#3</v>
      </c>
    </row>
    <row r="454" spans="1:8" x14ac:dyDescent="0.25">
      <c r="A454" t="s">
        <v>135</v>
      </c>
      <c r="B454">
        <v>138220</v>
      </c>
      <c r="C454" s="4">
        <v>5940</v>
      </c>
      <c r="D454" s="1">
        <v>44543</v>
      </c>
      <c r="E454" t="str">
        <f>"2019-11139"</f>
        <v>2019-11139</v>
      </c>
      <c r="F454" t="str">
        <f>"DroneSense Invoice"</f>
        <v>DroneSense Invoice</v>
      </c>
      <c r="G454" s="4">
        <v>5940</v>
      </c>
      <c r="H454" t="str">
        <f>"DroneSense Invoice"</f>
        <v>DroneSense Invoice</v>
      </c>
    </row>
    <row r="455" spans="1:8" x14ac:dyDescent="0.25">
      <c r="A455" t="s">
        <v>136</v>
      </c>
      <c r="B455">
        <v>5551</v>
      </c>
      <c r="C455" s="4">
        <v>11975</v>
      </c>
      <c r="D455" s="1">
        <v>44544</v>
      </c>
      <c r="E455" t="str">
        <f>"202111307453"</f>
        <v>202111307453</v>
      </c>
      <c r="F455" t="str">
        <f>"21-21012"</f>
        <v>21-21012</v>
      </c>
      <c r="G455" s="4">
        <v>100</v>
      </c>
      <c r="H455" t="str">
        <f>"21-21012"</f>
        <v>21-21012</v>
      </c>
    </row>
    <row r="456" spans="1:8" x14ac:dyDescent="0.25">
      <c r="E456" t="str">
        <f>"202111307454"</f>
        <v>202111307454</v>
      </c>
      <c r="F456" t="str">
        <f>"21-20994 21-20995 21-20996"</f>
        <v>21-20994 21-20995 21-20996</v>
      </c>
      <c r="G456" s="4">
        <v>300</v>
      </c>
      <c r="H456" t="str">
        <f>"21-20994 21-20995 21-20996"</f>
        <v>21-20994 21-20995 21-20996</v>
      </c>
    </row>
    <row r="457" spans="1:8" x14ac:dyDescent="0.25">
      <c r="E457" t="str">
        <f>"202111307455"</f>
        <v>202111307455</v>
      </c>
      <c r="F457" t="str">
        <f>"21-20789 21-20790 21-20791"</f>
        <v>21-20789 21-20790 21-20791</v>
      </c>
      <c r="G457" s="4">
        <v>300</v>
      </c>
      <c r="H457" t="str">
        <f>"21-20789 21-20790 21-20791"</f>
        <v>21-20789 21-20790 21-20791</v>
      </c>
    </row>
    <row r="458" spans="1:8" x14ac:dyDescent="0.25">
      <c r="E458" t="str">
        <f>"202111307457"</f>
        <v>202111307457</v>
      </c>
      <c r="F458" t="str">
        <f>"17533"</f>
        <v>17533</v>
      </c>
      <c r="G458" s="4">
        <v>400</v>
      </c>
      <c r="H458" t="str">
        <f>"17533"</f>
        <v>17533</v>
      </c>
    </row>
    <row r="459" spans="1:8" x14ac:dyDescent="0.25">
      <c r="E459" t="str">
        <f>"202111307458"</f>
        <v>202111307458</v>
      </c>
      <c r="F459" t="str">
        <f>"1949-21"</f>
        <v>1949-21</v>
      </c>
      <c r="G459" s="4">
        <v>100</v>
      </c>
      <c r="H459" t="str">
        <f>"1949-21"</f>
        <v>1949-21</v>
      </c>
    </row>
    <row r="460" spans="1:8" x14ac:dyDescent="0.25">
      <c r="E460" t="str">
        <f>"202111307459"</f>
        <v>202111307459</v>
      </c>
      <c r="F460" t="str">
        <f>"02-0509-5"</f>
        <v>02-0509-5</v>
      </c>
      <c r="G460" s="4">
        <v>400</v>
      </c>
      <c r="H460" t="str">
        <f>"02-0509-5"</f>
        <v>02-0509-5</v>
      </c>
    </row>
    <row r="461" spans="1:8" x14ac:dyDescent="0.25">
      <c r="E461" t="str">
        <f>"202111307460"</f>
        <v>202111307460</v>
      </c>
      <c r="F461" t="str">
        <f>"17511"</f>
        <v>17511</v>
      </c>
      <c r="G461" s="4">
        <v>600</v>
      </c>
      <c r="H461" t="str">
        <f>"17511"</f>
        <v>17511</v>
      </c>
    </row>
    <row r="462" spans="1:8" x14ac:dyDescent="0.25">
      <c r="E462" t="str">
        <f>"202111307461"</f>
        <v>202111307461</v>
      </c>
      <c r="F462" t="str">
        <f>"17039"</f>
        <v>17039</v>
      </c>
      <c r="G462" s="4">
        <v>600</v>
      </c>
      <c r="H462" t="str">
        <f>"17039"</f>
        <v>17039</v>
      </c>
    </row>
    <row r="463" spans="1:8" x14ac:dyDescent="0.25">
      <c r="E463" t="str">
        <f>"202111307462"</f>
        <v>202111307462</v>
      </c>
      <c r="F463" t="str">
        <f>"17464"</f>
        <v>17464</v>
      </c>
      <c r="G463" s="4">
        <v>400</v>
      </c>
      <c r="H463" t="str">
        <f>"17464"</f>
        <v>17464</v>
      </c>
    </row>
    <row r="464" spans="1:8" x14ac:dyDescent="0.25">
      <c r="E464" t="str">
        <f>"202111307463"</f>
        <v>202111307463</v>
      </c>
      <c r="F464" t="str">
        <f>"1846-335  1956-335"</f>
        <v>1846-335  1956-335</v>
      </c>
      <c r="G464" s="4">
        <v>200</v>
      </c>
      <c r="H464" t="str">
        <f>"1846-335  1956-335"</f>
        <v>1846-335  1956-335</v>
      </c>
    </row>
    <row r="465" spans="1:8" x14ac:dyDescent="0.25">
      <c r="E465" t="str">
        <f>"202111307464"</f>
        <v>202111307464</v>
      </c>
      <c r="F465" t="str">
        <f>"1941-21"</f>
        <v>1941-21</v>
      </c>
      <c r="G465" s="4">
        <v>100</v>
      </c>
      <c r="H465" t="str">
        <f>"1941-21"</f>
        <v>1941-21</v>
      </c>
    </row>
    <row r="466" spans="1:8" x14ac:dyDescent="0.25">
      <c r="E466" t="str">
        <f>"202111307465"</f>
        <v>202111307465</v>
      </c>
      <c r="F466" t="str">
        <f>"1946-335"</f>
        <v>1946-335</v>
      </c>
      <c r="G466" s="4">
        <v>100</v>
      </c>
      <c r="H466" t="str">
        <f>"1946-335"</f>
        <v>1946-335</v>
      </c>
    </row>
    <row r="467" spans="1:8" x14ac:dyDescent="0.25">
      <c r="E467" t="str">
        <f>"202111307466"</f>
        <v>202111307466</v>
      </c>
      <c r="F467" t="str">
        <f>"423-8186  1953-335"</f>
        <v>423-8186  1953-335</v>
      </c>
      <c r="G467" s="4">
        <v>200</v>
      </c>
      <c r="H467" t="str">
        <f>"423-8186  1953-335"</f>
        <v>423-8186  1953-335</v>
      </c>
    </row>
    <row r="468" spans="1:8" x14ac:dyDescent="0.25">
      <c r="E468" t="str">
        <f>"202111307467"</f>
        <v>202111307467</v>
      </c>
      <c r="F468" t="str">
        <f>"423-8188"</f>
        <v>423-8188</v>
      </c>
      <c r="G468" s="4">
        <v>100</v>
      </c>
      <c r="H468" t="str">
        <f>"423-8188"</f>
        <v>423-8188</v>
      </c>
    </row>
    <row r="469" spans="1:8" x14ac:dyDescent="0.25">
      <c r="E469" t="str">
        <f>"202111307468"</f>
        <v>202111307468</v>
      </c>
      <c r="F469" t="str">
        <f>"1952-21 423-8191"</f>
        <v>1952-21 423-8191</v>
      </c>
      <c r="G469" s="4">
        <v>200</v>
      </c>
      <c r="H469" t="str">
        <f>"1952-21 423-8191"</f>
        <v>1952-21 423-8191</v>
      </c>
    </row>
    <row r="470" spans="1:8" x14ac:dyDescent="0.25">
      <c r="E470" t="str">
        <f>"202111307469"</f>
        <v>202111307469</v>
      </c>
      <c r="F470" t="str">
        <f>"1951-21"</f>
        <v>1951-21</v>
      </c>
      <c r="G470" s="4">
        <v>100</v>
      </c>
      <c r="H470" t="str">
        <f>"1951-21"</f>
        <v>1951-21</v>
      </c>
    </row>
    <row r="471" spans="1:8" x14ac:dyDescent="0.25">
      <c r="E471" t="str">
        <f>"202111307470"</f>
        <v>202111307470</v>
      </c>
      <c r="F471" t="str">
        <f>"1967-335"</f>
        <v>1967-335</v>
      </c>
      <c r="G471" s="4">
        <v>100</v>
      </c>
      <c r="H471" t="str">
        <f>"1967-335"</f>
        <v>1967-335</v>
      </c>
    </row>
    <row r="472" spans="1:8" x14ac:dyDescent="0.25">
      <c r="E472" t="str">
        <f>"202111307471"</f>
        <v>202111307471</v>
      </c>
      <c r="F472" t="str">
        <f>"1970-335"</f>
        <v>1970-335</v>
      </c>
      <c r="G472" s="4">
        <v>100</v>
      </c>
      <c r="H472" t="str">
        <f>"1970-335"</f>
        <v>1970-335</v>
      </c>
    </row>
    <row r="473" spans="1:8" x14ac:dyDescent="0.25">
      <c r="E473" t="str">
        <f>"202111307472"</f>
        <v>202111307472</v>
      </c>
      <c r="F473" t="str">
        <f>"17216"</f>
        <v>17216</v>
      </c>
      <c r="G473" s="4">
        <v>5275</v>
      </c>
      <c r="H473" t="str">
        <f>"17216"</f>
        <v>17216</v>
      </c>
    </row>
    <row r="474" spans="1:8" x14ac:dyDescent="0.25">
      <c r="E474" t="str">
        <f>"202112067662"</f>
        <v>202112067662</v>
      </c>
      <c r="F474" t="str">
        <f>"423-8186  1948-21"</f>
        <v>423-8186  1948-21</v>
      </c>
      <c r="G474" s="4">
        <v>200</v>
      </c>
      <c r="H474" t="str">
        <f>"423-8186  1948-21"</f>
        <v>423-8186  1948-21</v>
      </c>
    </row>
    <row r="475" spans="1:8" x14ac:dyDescent="0.25">
      <c r="E475" t="str">
        <f>"202112067663"</f>
        <v>202112067663</v>
      </c>
      <c r="F475" t="str">
        <f>"423-8195"</f>
        <v>423-8195</v>
      </c>
      <c r="G475" s="4">
        <v>100</v>
      </c>
      <c r="H475" t="str">
        <f>"423-8195"</f>
        <v>423-8195</v>
      </c>
    </row>
    <row r="476" spans="1:8" x14ac:dyDescent="0.25">
      <c r="E476" t="str">
        <f>"202112067664"</f>
        <v>202112067664</v>
      </c>
      <c r="F476" t="str">
        <f>"423-8205 1961-21 1962-21 1966-"</f>
        <v>423-8205 1961-21 1962-21 1966-</v>
      </c>
      <c r="G476" s="4">
        <v>400</v>
      </c>
      <c r="H476" t="str">
        <f>"423-8205 1961-21 1962-21 1966-"</f>
        <v>423-8205 1961-21 1962-21 1966-</v>
      </c>
    </row>
    <row r="477" spans="1:8" x14ac:dyDescent="0.25">
      <c r="E477" t="str">
        <f>"202112067665"</f>
        <v>202112067665</v>
      </c>
      <c r="F477" t="str">
        <f>"17564  JP1091720201"</f>
        <v>17564  JP1091720201</v>
      </c>
      <c r="G477" s="4">
        <v>800</v>
      </c>
      <c r="H477" t="str">
        <f>"17564  JP1091720201"</f>
        <v>17564  JP1091720201</v>
      </c>
    </row>
    <row r="478" spans="1:8" x14ac:dyDescent="0.25">
      <c r="E478" t="str">
        <f>"202112067669"</f>
        <v>202112067669</v>
      </c>
      <c r="F478" t="str">
        <f>"21-21000 21-21001 21-21002"</f>
        <v>21-21000 21-21001 21-21002</v>
      </c>
      <c r="G478" s="4">
        <v>300</v>
      </c>
      <c r="H478" t="str">
        <f>"21-21000 21-21001 21-21002"</f>
        <v>21-21000 21-21001 21-21002</v>
      </c>
    </row>
    <row r="479" spans="1:8" x14ac:dyDescent="0.25">
      <c r="E479" t="str">
        <f>"202112067670"</f>
        <v>202112067670</v>
      </c>
      <c r="F479" t="str">
        <f>"DCPC-21-086 21-087 21-088"</f>
        <v>DCPC-21-086 21-087 21-088</v>
      </c>
      <c r="G479" s="4">
        <v>500</v>
      </c>
      <c r="H479" t="str">
        <f>"DCPC-21-086 21-087 21-088"</f>
        <v>DCPC-21-086 21-087 21-088</v>
      </c>
    </row>
    <row r="480" spans="1:8" x14ac:dyDescent="0.25">
      <c r="A480" t="s">
        <v>136</v>
      </c>
      <c r="B480">
        <v>5605</v>
      </c>
      <c r="C480" s="4">
        <v>2352.5</v>
      </c>
      <c r="D480" s="1">
        <v>44558</v>
      </c>
      <c r="E480" t="str">
        <f>"202112167840"</f>
        <v>202112167840</v>
      </c>
      <c r="F480" t="str">
        <f>"1959-21"</f>
        <v>1959-21</v>
      </c>
      <c r="G480" s="4">
        <v>100</v>
      </c>
      <c r="H480" t="str">
        <f>"1959-21"</f>
        <v>1959-21</v>
      </c>
    </row>
    <row r="481" spans="1:8" x14ac:dyDescent="0.25">
      <c r="E481" t="str">
        <f>"202112167841"</f>
        <v>202112167841</v>
      </c>
      <c r="F481" t="str">
        <f>"423-8208"</f>
        <v>423-8208</v>
      </c>
      <c r="G481" s="4">
        <v>100</v>
      </c>
      <c r="H481" t="str">
        <f>"423-8208"</f>
        <v>423-8208</v>
      </c>
    </row>
    <row r="482" spans="1:8" x14ac:dyDescent="0.25">
      <c r="E482" t="str">
        <f>"202112167842"</f>
        <v>202112167842</v>
      </c>
      <c r="F482" t="str">
        <f>"1954-21"</f>
        <v>1954-21</v>
      </c>
      <c r="G482" s="4">
        <v>100</v>
      </c>
      <c r="H482" t="str">
        <f>"1954-21"</f>
        <v>1954-21</v>
      </c>
    </row>
    <row r="483" spans="1:8" x14ac:dyDescent="0.25">
      <c r="E483" t="str">
        <f>"202112167843"</f>
        <v>202112167843</v>
      </c>
      <c r="F483" t="str">
        <f>"1950-21"</f>
        <v>1950-21</v>
      </c>
      <c r="G483" s="4">
        <v>100</v>
      </c>
      <c r="H483" t="str">
        <f>"1950-21"</f>
        <v>1950-21</v>
      </c>
    </row>
    <row r="484" spans="1:8" x14ac:dyDescent="0.25">
      <c r="E484" t="str">
        <f>"202112197925"</f>
        <v>202112197925</v>
      </c>
      <c r="F484" t="str">
        <f>"17572"</f>
        <v>17572</v>
      </c>
      <c r="G484" s="4">
        <v>600</v>
      </c>
      <c r="H484" t="str">
        <f>"17572"</f>
        <v>17572</v>
      </c>
    </row>
    <row r="485" spans="1:8" x14ac:dyDescent="0.25">
      <c r="E485" t="str">
        <f>"202112197926"</f>
        <v>202112197926</v>
      </c>
      <c r="F485" t="str">
        <f>"17571"</f>
        <v>17571</v>
      </c>
      <c r="G485" s="4">
        <v>600</v>
      </c>
      <c r="H485" t="str">
        <f>"17571"</f>
        <v>17571</v>
      </c>
    </row>
    <row r="486" spans="1:8" x14ac:dyDescent="0.25">
      <c r="E486" t="str">
        <f>"202112197927"</f>
        <v>202112197927</v>
      </c>
      <c r="F486" t="str">
        <f>"20-20216"</f>
        <v>20-20216</v>
      </c>
      <c r="G486" s="4">
        <v>302.5</v>
      </c>
      <c r="H486" t="str">
        <f>"20-20216"</f>
        <v>20-20216</v>
      </c>
    </row>
    <row r="487" spans="1:8" x14ac:dyDescent="0.25">
      <c r="E487" t="str">
        <f>"202112197928"</f>
        <v>202112197928</v>
      </c>
      <c r="F487" t="str">
        <f>"423-8190"</f>
        <v>423-8190</v>
      </c>
      <c r="G487" s="4">
        <v>100</v>
      </c>
      <c r="H487" t="str">
        <f>"423-8190"</f>
        <v>423-8190</v>
      </c>
    </row>
    <row r="488" spans="1:8" x14ac:dyDescent="0.25">
      <c r="E488" t="str">
        <f>"202112197929"</f>
        <v>202112197929</v>
      </c>
      <c r="F488" t="str">
        <f>"309222021D"</f>
        <v>309222021D</v>
      </c>
      <c r="G488" s="4">
        <v>350</v>
      </c>
      <c r="H488" t="str">
        <f>"309222021D"</f>
        <v>309222021D</v>
      </c>
    </row>
    <row r="489" spans="1:8" x14ac:dyDescent="0.25">
      <c r="A489" t="s">
        <v>137</v>
      </c>
      <c r="B489">
        <v>5524</v>
      </c>
      <c r="C489" s="4">
        <v>2762.57</v>
      </c>
      <c r="D489" s="1">
        <v>44544</v>
      </c>
      <c r="E489" t="str">
        <f>"6265010997"</f>
        <v>6265010997</v>
      </c>
      <c r="F489" t="str">
        <f>"INV 6265010997"</f>
        <v>INV 6265010997</v>
      </c>
      <c r="G489" s="4">
        <v>657.77</v>
      </c>
      <c r="H489" t="str">
        <f>"INV 6265010997"</f>
        <v>INV 6265010997</v>
      </c>
    </row>
    <row r="490" spans="1:8" x14ac:dyDescent="0.25">
      <c r="E490" t="str">
        <f>"6265082517"</f>
        <v>6265082517</v>
      </c>
      <c r="F490" t="str">
        <f>"INV 6265082517"</f>
        <v>INV 6265082517</v>
      </c>
      <c r="G490" s="4">
        <v>2104.8000000000002</v>
      </c>
      <c r="H490" t="str">
        <f>"INV 6265082517"</f>
        <v>INV 6265082517</v>
      </c>
    </row>
    <row r="491" spans="1:8" x14ac:dyDescent="0.25">
      <c r="A491" t="s">
        <v>138</v>
      </c>
      <c r="B491">
        <v>138399</v>
      </c>
      <c r="C491" s="4">
        <v>500</v>
      </c>
      <c r="D491" s="1">
        <v>44557</v>
      </c>
      <c r="E491" t="str">
        <f>"12690"</f>
        <v>12690</v>
      </c>
      <c r="F491" t="str">
        <f>"SERVICE"</f>
        <v>SERVICE</v>
      </c>
      <c r="G491" s="4">
        <v>500</v>
      </c>
      <c r="H491" t="str">
        <f>"SERVICE"</f>
        <v>SERVICE</v>
      </c>
    </row>
    <row r="492" spans="1:8" x14ac:dyDescent="0.25">
      <c r="A492" t="s">
        <v>139</v>
      </c>
      <c r="B492">
        <v>138400</v>
      </c>
      <c r="C492" s="4">
        <v>374.58</v>
      </c>
      <c r="D492" s="1">
        <v>44557</v>
      </c>
      <c r="E492" t="str">
        <f>"CR3000432"</f>
        <v>CR3000432</v>
      </c>
      <c r="F492" t="str">
        <f>"CUST#30344/ORD#111966"</f>
        <v>CUST#30344/ORD#111966</v>
      </c>
      <c r="G492" s="4">
        <v>374.58</v>
      </c>
      <c r="H492" t="str">
        <f>"CUST#30344/ORD#111966"</f>
        <v>CUST#30344/ORD#111966</v>
      </c>
    </row>
    <row r="493" spans="1:8" x14ac:dyDescent="0.25">
      <c r="A493" t="s">
        <v>140</v>
      </c>
      <c r="B493">
        <v>138221</v>
      </c>
      <c r="C493" s="4">
        <v>1947</v>
      </c>
      <c r="D493" s="1">
        <v>44543</v>
      </c>
      <c r="E493" t="str">
        <f>"202112027565"</f>
        <v>202112027565</v>
      </c>
      <c r="F493" t="str">
        <f>"Public Notice"</f>
        <v>Public Notice</v>
      </c>
      <c r="G493" s="4">
        <v>360</v>
      </c>
      <c r="H493" t="str">
        <f>"Public Notice"</f>
        <v>Public Notice</v>
      </c>
    </row>
    <row r="494" spans="1:8" x14ac:dyDescent="0.25">
      <c r="E494" t="str">
        <f>""</f>
        <v/>
      </c>
      <c r="F494" t="str">
        <f>""</f>
        <v/>
      </c>
      <c r="G494" s="4">
        <v>5</v>
      </c>
      <c r="H494" t="str">
        <f>"Affidavidt Fee"</f>
        <v>Affidavidt Fee</v>
      </c>
    </row>
    <row r="495" spans="1:8" x14ac:dyDescent="0.25">
      <c r="E495" t="str">
        <f>"202112027566"</f>
        <v>202112027566</v>
      </c>
      <c r="F495" t="str">
        <f>"Public Notice"</f>
        <v>Public Notice</v>
      </c>
      <c r="G495" s="4">
        <v>360</v>
      </c>
      <c r="H495" t="str">
        <f>"Public Notice"</f>
        <v>Public Notice</v>
      </c>
    </row>
    <row r="496" spans="1:8" x14ac:dyDescent="0.25">
      <c r="E496" t="str">
        <f>"202112027567"</f>
        <v>202112027567</v>
      </c>
      <c r="F496" t="str">
        <f>"Public Notice"</f>
        <v>Public Notice</v>
      </c>
      <c r="G496" s="4">
        <v>240</v>
      </c>
      <c r="H496" t="str">
        <f>"Public Notice"</f>
        <v>Public Notice</v>
      </c>
    </row>
    <row r="497" spans="1:8" x14ac:dyDescent="0.25">
      <c r="E497" t="str">
        <f>""</f>
        <v/>
      </c>
      <c r="F497" t="str">
        <f>""</f>
        <v/>
      </c>
      <c r="G497" s="4">
        <v>5</v>
      </c>
      <c r="H497" t="str">
        <f>"Affidavidt Fee"</f>
        <v>Affidavidt Fee</v>
      </c>
    </row>
    <row r="498" spans="1:8" x14ac:dyDescent="0.25">
      <c r="E498" t="str">
        <f>"202112027568"</f>
        <v>202112027568</v>
      </c>
      <c r="F498" t="str">
        <f>"Public Notice"</f>
        <v>Public Notice</v>
      </c>
      <c r="G498" s="4">
        <v>400</v>
      </c>
      <c r="H498" t="str">
        <f>"Public Notice"</f>
        <v>Public Notice</v>
      </c>
    </row>
    <row r="499" spans="1:8" x14ac:dyDescent="0.25">
      <c r="E499" t="str">
        <f>""</f>
        <v/>
      </c>
      <c r="F499" t="str">
        <f>""</f>
        <v/>
      </c>
      <c r="G499" s="4">
        <v>5</v>
      </c>
      <c r="H499" t="str">
        <f>"Affidavidt Fee"</f>
        <v>Affidavidt Fee</v>
      </c>
    </row>
    <row r="500" spans="1:8" x14ac:dyDescent="0.25">
      <c r="E500" t="str">
        <f>"202112027569"</f>
        <v>202112027569</v>
      </c>
      <c r="F500" t="str">
        <f>"Public Notice"</f>
        <v>Public Notice</v>
      </c>
      <c r="G500" s="4">
        <v>540</v>
      </c>
      <c r="H500" t="str">
        <f>"Public Notice"</f>
        <v>Public Notice</v>
      </c>
    </row>
    <row r="501" spans="1:8" x14ac:dyDescent="0.25">
      <c r="E501" t="str">
        <f>""</f>
        <v/>
      </c>
      <c r="F501" t="str">
        <f>""</f>
        <v/>
      </c>
      <c r="G501" s="4">
        <v>5</v>
      </c>
      <c r="H501" t="str">
        <f>"Affidavidt Fee"</f>
        <v>Affidavidt Fee</v>
      </c>
    </row>
    <row r="502" spans="1:8" x14ac:dyDescent="0.25">
      <c r="E502" t="str">
        <f>"202112027570"</f>
        <v>202112027570</v>
      </c>
      <c r="F502" t="str">
        <f>"Public Notice"</f>
        <v>Public Notice</v>
      </c>
      <c r="G502" s="4">
        <v>22</v>
      </c>
      <c r="H502" t="str">
        <f>"Public Notice"</f>
        <v>Public Notice</v>
      </c>
    </row>
    <row r="503" spans="1:8" x14ac:dyDescent="0.25">
      <c r="E503" t="str">
        <f>""</f>
        <v/>
      </c>
      <c r="F503" t="str">
        <f>""</f>
        <v/>
      </c>
      <c r="G503" s="4">
        <v>5</v>
      </c>
      <c r="H503" t="str">
        <f>"Affidavit"</f>
        <v>Affidavit</v>
      </c>
    </row>
    <row r="504" spans="1:8" x14ac:dyDescent="0.25">
      <c r="A504" t="s">
        <v>140</v>
      </c>
      <c r="B504">
        <v>138401</v>
      </c>
      <c r="C504" s="4">
        <v>1510</v>
      </c>
      <c r="D504" s="1">
        <v>44557</v>
      </c>
      <c r="E504" t="str">
        <f>"202112197894"</f>
        <v>202112197894</v>
      </c>
      <c r="F504" t="str">
        <f>"Public Notice"</f>
        <v>Public Notice</v>
      </c>
      <c r="G504" s="4">
        <v>300</v>
      </c>
      <c r="H504" t="str">
        <f>"21BCP11B"</f>
        <v>21BCP11B</v>
      </c>
    </row>
    <row r="505" spans="1:8" x14ac:dyDescent="0.25">
      <c r="E505" t="str">
        <f>""</f>
        <v/>
      </c>
      <c r="F505" t="str">
        <f>""</f>
        <v/>
      </c>
      <c r="G505" s="4">
        <v>5</v>
      </c>
      <c r="H505" t="str">
        <f>"Publishers Affidavit"</f>
        <v>Publishers Affidavit</v>
      </c>
    </row>
    <row r="506" spans="1:8" x14ac:dyDescent="0.25">
      <c r="E506" t="str">
        <f>""</f>
        <v/>
      </c>
      <c r="F506" t="str">
        <f>""</f>
        <v/>
      </c>
      <c r="G506" s="4">
        <v>300</v>
      </c>
      <c r="H506" t="str">
        <f>"21BCP11E"</f>
        <v>21BCP11E</v>
      </c>
    </row>
    <row r="507" spans="1:8" x14ac:dyDescent="0.25">
      <c r="E507" t="str">
        <f>""</f>
        <v/>
      </c>
      <c r="F507" t="str">
        <f>""</f>
        <v/>
      </c>
      <c r="G507" s="4">
        <v>5</v>
      </c>
      <c r="H507" t="str">
        <f>"Publishers Affidavit"</f>
        <v>Publishers Affidavit</v>
      </c>
    </row>
    <row r="508" spans="1:8" x14ac:dyDescent="0.25">
      <c r="E508" t="str">
        <f>""</f>
        <v/>
      </c>
      <c r="F508" t="str">
        <f>""</f>
        <v/>
      </c>
      <c r="G508" s="4">
        <v>300</v>
      </c>
      <c r="H508" t="str">
        <f>"21BCP11C"</f>
        <v>21BCP11C</v>
      </c>
    </row>
    <row r="509" spans="1:8" x14ac:dyDescent="0.25">
      <c r="E509" t="str">
        <f>""</f>
        <v/>
      </c>
      <c r="F509" t="str">
        <f>""</f>
        <v/>
      </c>
      <c r="G509" s="4">
        <v>5</v>
      </c>
      <c r="H509" t="str">
        <f>"Publishers Affidavit"</f>
        <v>Publishers Affidavit</v>
      </c>
    </row>
    <row r="510" spans="1:8" x14ac:dyDescent="0.25">
      <c r="E510" t="str">
        <f>"202112197895"</f>
        <v>202112197895</v>
      </c>
      <c r="F510" t="str">
        <f>"BLACKLANDS PUBLICATIONS INC"</f>
        <v>BLACKLANDS PUBLICATIONS INC</v>
      </c>
      <c r="G510" s="4">
        <v>80</v>
      </c>
      <c r="H510" t="str">
        <f>"Public Notice"</f>
        <v>Public Notice</v>
      </c>
    </row>
    <row r="511" spans="1:8" x14ac:dyDescent="0.25">
      <c r="E511" t="str">
        <f>""</f>
        <v/>
      </c>
      <c r="F511" t="str">
        <f>""</f>
        <v/>
      </c>
      <c r="G511" s="4">
        <v>5</v>
      </c>
      <c r="H511" t="str">
        <f>"affidavit Fee"</f>
        <v>affidavit Fee</v>
      </c>
    </row>
    <row r="512" spans="1:8" x14ac:dyDescent="0.25">
      <c r="E512" t="str">
        <f>"202112197896"</f>
        <v>202112197896</v>
      </c>
      <c r="F512" t="str">
        <f>"Pub Notice - RFQ 21BCP11A"</f>
        <v>Pub Notice - RFQ 21BCP11A</v>
      </c>
      <c r="G512" s="4">
        <v>150</v>
      </c>
      <c r="H512" t="str">
        <f>"Pub Notice - Nov.3rd"</f>
        <v>Pub Notice - Nov.3rd</v>
      </c>
    </row>
    <row r="513" spans="1:8" x14ac:dyDescent="0.25">
      <c r="E513" t="str">
        <f>""</f>
        <v/>
      </c>
      <c r="F513" t="str">
        <f>""</f>
        <v/>
      </c>
      <c r="G513" s="4">
        <v>150</v>
      </c>
      <c r="H513" t="str">
        <f>"Pub Notice- Nov.10th"</f>
        <v>Pub Notice- Nov.10th</v>
      </c>
    </row>
    <row r="514" spans="1:8" x14ac:dyDescent="0.25">
      <c r="E514" t="str">
        <f>""</f>
        <v/>
      </c>
      <c r="F514" t="str">
        <f>""</f>
        <v/>
      </c>
      <c r="G514" s="4">
        <v>5</v>
      </c>
      <c r="H514" t="str">
        <f>"Affidavit Fee"</f>
        <v>Affidavit Fee</v>
      </c>
    </row>
    <row r="515" spans="1:8" x14ac:dyDescent="0.25">
      <c r="E515" t="str">
        <f>"202112197897"</f>
        <v>202112197897</v>
      </c>
      <c r="F515" t="str">
        <f>"Haz Mit Plan Public Mtg"</f>
        <v>Haz Mit Plan Public Mtg</v>
      </c>
      <c r="G515" s="4">
        <v>200</v>
      </c>
      <c r="H515" t="str">
        <f>"Haz Mit Plan Public Mtg"</f>
        <v>Haz Mit Plan Public Mtg</v>
      </c>
    </row>
    <row r="516" spans="1:8" x14ac:dyDescent="0.25">
      <c r="E516" t="str">
        <f>""</f>
        <v/>
      </c>
      <c r="F516" t="str">
        <f>""</f>
        <v/>
      </c>
      <c r="G516" s="4">
        <v>5</v>
      </c>
      <c r="H516" t="str">
        <f>"Affidavit Fee"</f>
        <v>Affidavit Fee</v>
      </c>
    </row>
    <row r="517" spans="1:8" x14ac:dyDescent="0.25">
      <c r="A517" t="s">
        <v>141</v>
      </c>
      <c r="B517">
        <v>138222</v>
      </c>
      <c r="C517" s="4">
        <v>1203.57</v>
      </c>
      <c r="D517" s="1">
        <v>44543</v>
      </c>
      <c r="E517" t="str">
        <f>"15356"</f>
        <v>15356</v>
      </c>
      <c r="F517" t="str">
        <f>"BOOTS/SUPPLIES/PCT#4"</f>
        <v>BOOTS/SUPPLIES/PCT#4</v>
      </c>
      <c r="G517" s="4">
        <v>1203.57</v>
      </c>
      <c r="H517" t="str">
        <f>"BOOTS/SUPPLIES/PCT#4"</f>
        <v>BOOTS/SUPPLIES/PCT#4</v>
      </c>
    </row>
    <row r="518" spans="1:8" x14ac:dyDescent="0.25">
      <c r="A518" t="s">
        <v>142</v>
      </c>
      <c r="B518">
        <v>138151</v>
      </c>
      <c r="C518" s="4">
        <v>1955.66</v>
      </c>
      <c r="D518" s="1">
        <v>44533</v>
      </c>
      <c r="E518" t="str">
        <f>"202112037653"</f>
        <v>202112037653</v>
      </c>
      <c r="F518" t="str">
        <f>"ACCT#007-0008410-002/11302021"</f>
        <v>ACCT#007-0008410-002/11302021</v>
      </c>
      <c r="G518" s="4">
        <v>241.11</v>
      </c>
      <c r="H518" t="str">
        <f>"ACCT#007-0008410-002/11302021"</f>
        <v>ACCT#007-0008410-002/11302021</v>
      </c>
    </row>
    <row r="519" spans="1:8" x14ac:dyDescent="0.25">
      <c r="E519" t="str">
        <f>"202112037654"</f>
        <v>202112037654</v>
      </c>
      <c r="F519" t="str">
        <f>"ACCT#007-0011501-000/11302021"</f>
        <v>ACCT#007-0011501-000/11302021</v>
      </c>
      <c r="G519" s="4">
        <v>302.44</v>
      </c>
      <c r="H519" t="str">
        <f t="shared" ref="H519:H525" si="8">"CITY OF ELGIN UTILITIES"</f>
        <v>CITY OF ELGIN UTILITIES</v>
      </c>
    </row>
    <row r="520" spans="1:8" x14ac:dyDescent="0.25">
      <c r="E520" t="str">
        <f>"202112037655"</f>
        <v>202112037655</v>
      </c>
      <c r="F520" t="str">
        <f>"ACCT#007-0011510-000/11302021"</f>
        <v>ACCT#007-0011510-000/11302021</v>
      </c>
      <c r="G520" s="4">
        <v>259.89999999999998</v>
      </c>
      <c r="H520" t="str">
        <f t="shared" si="8"/>
        <v>CITY OF ELGIN UTILITIES</v>
      </c>
    </row>
    <row r="521" spans="1:8" x14ac:dyDescent="0.25">
      <c r="E521" t="str">
        <f>"202112037656"</f>
        <v>202112037656</v>
      </c>
      <c r="F521" t="str">
        <f>"ACCT#007-0011530-000/11302021"</f>
        <v>ACCT#007-0011530-000/11302021</v>
      </c>
      <c r="G521" s="4">
        <v>108.67</v>
      </c>
      <c r="H521" t="str">
        <f t="shared" si="8"/>
        <v>CITY OF ELGIN UTILITIES</v>
      </c>
    </row>
    <row r="522" spans="1:8" x14ac:dyDescent="0.25">
      <c r="E522" t="str">
        <f>"202112037657"</f>
        <v>202112037657</v>
      </c>
      <c r="F522" t="str">
        <f>"ACCT#007-0011534-001/11302021"</f>
        <v>ACCT#007-0011534-001/11302021</v>
      </c>
      <c r="G522" s="4">
        <v>184.26</v>
      </c>
      <c r="H522" t="str">
        <f t="shared" si="8"/>
        <v>CITY OF ELGIN UTILITIES</v>
      </c>
    </row>
    <row r="523" spans="1:8" x14ac:dyDescent="0.25">
      <c r="E523" t="str">
        <f>"202112037658"</f>
        <v>202112037658</v>
      </c>
      <c r="F523" t="str">
        <f>"ACCT#007-0011535-000/11302021"</f>
        <v>ACCT#007-0011535-000/11302021</v>
      </c>
      <c r="G523" s="4">
        <v>315.85000000000002</v>
      </c>
      <c r="H523" t="str">
        <f t="shared" si="8"/>
        <v>CITY OF ELGIN UTILITIES</v>
      </c>
    </row>
    <row r="524" spans="1:8" x14ac:dyDescent="0.25">
      <c r="E524" t="str">
        <f>"202112037659"</f>
        <v>202112037659</v>
      </c>
      <c r="F524" t="str">
        <f>"ACCT#007-0011544-001/11302021"</f>
        <v>ACCT#007-0011544-001/11302021</v>
      </c>
      <c r="G524" s="4">
        <v>405.27</v>
      </c>
      <c r="H524" t="str">
        <f t="shared" si="8"/>
        <v>CITY OF ELGIN UTILITIES</v>
      </c>
    </row>
    <row r="525" spans="1:8" x14ac:dyDescent="0.25">
      <c r="E525" t="str">
        <f>"202112037660"</f>
        <v>202112037660</v>
      </c>
      <c r="F525" t="str">
        <f>"ACCT#007-0071128-001/11302021"</f>
        <v>ACCT#007-0071128-001/11302021</v>
      </c>
      <c r="G525" s="4">
        <v>138.16</v>
      </c>
      <c r="H525" t="str">
        <f t="shared" si="8"/>
        <v>CITY OF ELGIN UTILITIES</v>
      </c>
    </row>
    <row r="526" spans="1:8" x14ac:dyDescent="0.25">
      <c r="A526" t="s">
        <v>143</v>
      </c>
      <c r="B526">
        <v>138402</v>
      </c>
      <c r="C526" s="4">
        <v>773.36</v>
      </c>
      <c r="D526" s="1">
        <v>44557</v>
      </c>
      <c r="E526" t="str">
        <f>"145-57706-01"</f>
        <v>145-57706-01</v>
      </c>
      <c r="F526" t="str">
        <f>"INV 145-57706-01"</f>
        <v>INV 145-57706-01</v>
      </c>
      <c r="G526" s="4">
        <v>423.36</v>
      </c>
      <c r="H526" t="str">
        <f>"INV 145-57706-01"</f>
        <v>INV 145-57706-01</v>
      </c>
    </row>
    <row r="527" spans="1:8" x14ac:dyDescent="0.25">
      <c r="E527" t="str">
        <f>"145-57708-01"</f>
        <v>145-57708-01</v>
      </c>
      <c r="F527" t="str">
        <f>"INV 145-57708-01"</f>
        <v>INV 145-57708-01</v>
      </c>
      <c r="G527" s="4">
        <v>350</v>
      </c>
      <c r="H527" t="str">
        <f>"INV 145-57708-01"</f>
        <v>INV 145-57708-01</v>
      </c>
    </row>
    <row r="528" spans="1:8" x14ac:dyDescent="0.25">
      <c r="A528" t="s">
        <v>144</v>
      </c>
      <c r="B528">
        <v>138223</v>
      </c>
      <c r="C528" s="4">
        <v>150</v>
      </c>
      <c r="D528" s="1">
        <v>44543</v>
      </c>
      <c r="E528" t="str">
        <f>"02113"</f>
        <v>02113</v>
      </c>
      <c r="F528" t="str">
        <f>"Memeber Renewal Fee"</f>
        <v>Memeber Renewal Fee</v>
      </c>
      <c r="G528" s="4">
        <v>150</v>
      </c>
      <c r="H528" t="str">
        <f>"Memeber Renewal Fee"</f>
        <v>Memeber Renewal Fee</v>
      </c>
    </row>
    <row r="529" spans="1:8" x14ac:dyDescent="0.25">
      <c r="A529" t="s">
        <v>145</v>
      </c>
      <c r="B529">
        <v>138224</v>
      </c>
      <c r="C529" s="4">
        <v>31229.48</v>
      </c>
      <c r="D529" s="1">
        <v>44543</v>
      </c>
      <c r="E529" t="str">
        <f>"9402601480"</f>
        <v>9402601480</v>
      </c>
      <c r="F529" t="str">
        <f>"ACCT#912923/PCT#4"</f>
        <v>ACCT#912923/PCT#4</v>
      </c>
      <c r="G529" s="4">
        <v>2540.48</v>
      </c>
      <c r="H529" t="str">
        <f>"ACCT#912923/PCT#4"</f>
        <v>ACCT#912923/PCT#4</v>
      </c>
    </row>
    <row r="530" spans="1:8" x14ac:dyDescent="0.25">
      <c r="E530" t="str">
        <f>"9402601612"</f>
        <v>9402601612</v>
      </c>
      <c r="F530" t="str">
        <f>"BOL NO 30074 PCT#1"</f>
        <v>BOL NO 30074 PCT#1</v>
      </c>
      <c r="G530" s="4">
        <v>11235.36</v>
      </c>
      <c r="H530" t="str">
        <f>"BOL NO 30074 PCT#1"</f>
        <v>BOL NO 30074 PCT#1</v>
      </c>
    </row>
    <row r="531" spans="1:8" x14ac:dyDescent="0.25">
      <c r="E531" t="str">
        <f>"9402602344"</f>
        <v>9402602344</v>
      </c>
      <c r="F531" t="str">
        <f>"ACCT#912923/BOL#30079/PCT#4"</f>
        <v>ACCT#912923/BOL#30079/PCT#4</v>
      </c>
      <c r="G531" s="4">
        <v>9323.64</v>
      </c>
      <c r="H531" t="str">
        <f>"ACCT#912923/BOL#30079/PCT#4"</f>
        <v>ACCT#912923/BOL#30079/PCT#4</v>
      </c>
    </row>
    <row r="532" spans="1:8" x14ac:dyDescent="0.25">
      <c r="E532" t="str">
        <f>"9402603044"</f>
        <v>9402603044</v>
      </c>
      <c r="F532" t="str">
        <f>"ACCT#912923/BOL#30094/PCT#4"</f>
        <v>ACCT#912923/BOL#30094/PCT#4</v>
      </c>
      <c r="G532" s="4">
        <v>4120</v>
      </c>
      <c r="H532" t="str">
        <f>"ACCT#912923/BOL#30094/PCT#4"</f>
        <v>ACCT#912923/BOL#30094/PCT#4</v>
      </c>
    </row>
    <row r="533" spans="1:8" x14ac:dyDescent="0.25">
      <c r="E533" t="str">
        <f>"9402603045"</f>
        <v>9402603045</v>
      </c>
      <c r="F533" t="str">
        <f>"ACCT#912923/BOL#30098/PCT#4"</f>
        <v>ACCT#912923/BOL#30098/PCT#4</v>
      </c>
      <c r="G533" s="4">
        <v>4010</v>
      </c>
      <c r="H533" t="str">
        <f>"ACCT#912923/BOL#30098/PCT#4"</f>
        <v>ACCT#912923/BOL#30098/PCT#4</v>
      </c>
    </row>
    <row r="534" spans="1:8" x14ac:dyDescent="0.25">
      <c r="A534" t="s">
        <v>146</v>
      </c>
      <c r="B534">
        <v>138403</v>
      </c>
      <c r="C534" s="4">
        <v>35</v>
      </c>
      <c r="D534" s="1">
        <v>44557</v>
      </c>
      <c r="E534" t="str">
        <f>"202112177862"</f>
        <v>202112177862</v>
      </c>
      <c r="F534" t="str">
        <f>"ACCT#9290502/ADMIN FEE TX SS P"</f>
        <v>ACCT#9290502/ADMIN FEE TX SS P</v>
      </c>
      <c r="G534" s="4">
        <v>35</v>
      </c>
      <c r="H534" t="str">
        <f>"ACCT#9290502/ADMIN FEE TX SS P"</f>
        <v>ACCT#9290502/ADMIN FEE TX SS P</v>
      </c>
    </row>
    <row r="535" spans="1:8" x14ac:dyDescent="0.25">
      <c r="A535" t="s">
        <v>147</v>
      </c>
      <c r="B535">
        <v>5542</v>
      </c>
      <c r="C535" s="4">
        <v>585</v>
      </c>
      <c r="D535" s="1">
        <v>44544</v>
      </c>
      <c r="E535" t="str">
        <f>"3436605"</f>
        <v>3436605</v>
      </c>
      <c r="F535" t="str">
        <f>"PARTS PCT#3"</f>
        <v>PARTS PCT#3</v>
      </c>
      <c r="G535" s="4">
        <v>585</v>
      </c>
      <c r="H535" t="str">
        <f>"PARTS PCT#3"</f>
        <v>PARTS PCT#3</v>
      </c>
    </row>
    <row r="536" spans="1:8" x14ac:dyDescent="0.25">
      <c r="A536" t="s">
        <v>147</v>
      </c>
      <c r="B536">
        <v>5599</v>
      </c>
      <c r="C536" s="4">
        <v>330.49</v>
      </c>
      <c r="D536" s="1">
        <v>44558</v>
      </c>
      <c r="E536" t="str">
        <f>"3436902"</f>
        <v>3436902</v>
      </c>
      <c r="F536" t="str">
        <f>"SERVICE / PCT #1"</f>
        <v>SERVICE / PCT #1</v>
      </c>
      <c r="G536" s="4">
        <v>330.49</v>
      </c>
      <c r="H536" t="str">
        <f>"SERVICE / PCT #1"</f>
        <v>SERVICE / PCT #1</v>
      </c>
    </row>
    <row r="537" spans="1:8" x14ac:dyDescent="0.25">
      <c r="A537" t="s">
        <v>148</v>
      </c>
      <c r="B537">
        <v>5525</v>
      </c>
      <c r="C537" s="4">
        <v>9072.25</v>
      </c>
      <c r="D537" s="1">
        <v>44544</v>
      </c>
      <c r="E537" t="str">
        <f>"202112027619"</f>
        <v>202112027619</v>
      </c>
      <c r="F537" t="str">
        <f>"GRANT REIMBURSEMENT"</f>
        <v>GRANT REIMBURSEMENT</v>
      </c>
      <c r="G537" s="4">
        <v>9072.25</v>
      </c>
      <c r="H537" t="str">
        <f>"GRANT REIMBURSEMENT"</f>
        <v>GRANT REIMBURSEMENT</v>
      </c>
    </row>
    <row r="538" spans="1:8" x14ac:dyDescent="0.25">
      <c r="A538" t="s">
        <v>149</v>
      </c>
      <c r="B538">
        <v>138404</v>
      </c>
      <c r="C538" s="4">
        <v>100</v>
      </c>
      <c r="D538" s="1">
        <v>44557</v>
      </c>
      <c r="E538" t="str">
        <f>"13364"</f>
        <v>13364</v>
      </c>
      <c r="F538" t="str">
        <f>"SERVICE"</f>
        <v>SERVICE</v>
      </c>
      <c r="G538" s="4">
        <v>100</v>
      </c>
      <c r="H538" t="str">
        <f>"SERVICE"</f>
        <v>SERVICE</v>
      </c>
    </row>
    <row r="539" spans="1:8" x14ac:dyDescent="0.25">
      <c r="A539" t="s">
        <v>150</v>
      </c>
      <c r="B539">
        <v>138225</v>
      </c>
      <c r="C539" s="4">
        <v>105.66</v>
      </c>
      <c r="D539" s="1">
        <v>44543</v>
      </c>
      <c r="E539" t="str">
        <f>"7-443-24853"</f>
        <v>7-443-24853</v>
      </c>
      <c r="F539" t="str">
        <f>"INV 7-443-24853"</f>
        <v>INV 7-443-24853</v>
      </c>
      <c r="G539" s="4">
        <v>11.43</v>
      </c>
      <c r="H539" t="str">
        <f>"INV 7-443-24853"</f>
        <v>INV 7-443-24853</v>
      </c>
    </row>
    <row r="540" spans="1:8" x14ac:dyDescent="0.25">
      <c r="E540" t="str">
        <f>"7-570-00958"</f>
        <v>7-570-00958</v>
      </c>
      <c r="F540" t="str">
        <f>"INV 7-570-00958"</f>
        <v>INV 7-570-00958</v>
      </c>
      <c r="G540" s="4">
        <v>31.9</v>
      </c>
      <c r="H540" t="str">
        <f>"INV 7-570-00958"</f>
        <v>INV 7-570-00958</v>
      </c>
    </row>
    <row r="541" spans="1:8" x14ac:dyDescent="0.25">
      <c r="E541" t="str">
        <f>"7-577-60667"</f>
        <v>7-577-60667</v>
      </c>
      <c r="F541" t="str">
        <f>"INV 7-577-60667"</f>
        <v>INV 7-577-60667</v>
      </c>
      <c r="G541" s="4">
        <v>62.33</v>
      </c>
      <c r="H541" t="str">
        <f>"INV 7-577-60667"</f>
        <v>INV 7-577-60667</v>
      </c>
    </row>
    <row r="542" spans="1:8" x14ac:dyDescent="0.25">
      <c r="A542" t="s">
        <v>150</v>
      </c>
      <c r="B542">
        <v>138405</v>
      </c>
      <c r="C542" s="4">
        <v>69.67</v>
      </c>
      <c r="D542" s="1">
        <v>44557</v>
      </c>
      <c r="E542" t="str">
        <f>"7-599-32044"</f>
        <v>7-599-32044</v>
      </c>
      <c r="F542" t="str">
        <f>"INV 7-599-32044"</f>
        <v>INV 7-599-32044</v>
      </c>
      <c r="G542" s="4">
        <v>34.28</v>
      </c>
      <c r="H542" t="str">
        <f>"INV 7-599-32044"</f>
        <v>INV 7-599-32044</v>
      </c>
    </row>
    <row r="543" spans="1:8" x14ac:dyDescent="0.25">
      <c r="E543" t="str">
        <f>""</f>
        <v/>
      </c>
      <c r="F543" t="str">
        <f>""</f>
        <v/>
      </c>
      <c r="G543" s="4">
        <v>35.39</v>
      </c>
      <c r="H543" t="str">
        <f>"INV 7-599-32044"</f>
        <v>INV 7-599-32044</v>
      </c>
    </row>
    <row r="544" spans="1:8" x14ac:dyDescent="0.25">
      <c r="A544" t="s">
        <v>151</v>
      </c>
      <c r="B544">
        <v>138226</v>
      </c>
      <c r="C544" s="4">
        <v>30</v>
      </c>
      <c r="D544" s="1">
        <v>44543</v>
      </c>
      <c r="E544" t="s">
        <v>152</v>
      </c>
      <c r="F544" s="4" t="str">
        <f>"RESTITUTION - RAMON SALINAS"</f>
        <v>RESTITUTION - RAMON SALINAS</v>
      </c>
      <c r="G544" s="4">
        <v>30</v>
      </c>
      <c r="H544" t="str">
        <f>"RESTITUTION - RAMON SALINAS"</f>
        <v>RESTITUTION - RAMON SALINAS</v>
      </c>
    </row>
    <row r="545" spans="1:8" x14ac:dyDescent="0.25">
      <c r="A545" t="s">
        <v>153</v>
      </c>
      <c r="B545">
        <v>138227</v>
      </c>
      <c r="C545" s="4">
        <v>682</v>
      </c>
      <c r="D545" s="1">
        <v>44543</v>
      </c>
      <c r="E545" t="str">
        <f>"8564739"</f>
        <v>8564739</v>
      </c>
      <c r="F545" t="str">
        <f>"CUST NO 80975-001 PCT#3"</f>
        <v>CUST NO 80975-001 PCT#3</v>
      </c>
      <c r="G545" s="4">
        <v>-935.91</v>
      </c>
      <c r="H545" t="str">
        <f>"CUST NO 80975-001 PCT#3"</f>
        <v>CUST NO 80975-001 PCT#3</v>
      </c>
    </row>
    <row r="546" spans="1:8" x14ac:dyDescent="0.25">
      <c r="E546" t="str">
        <f>"86035992"</f>
        <v>86035992</v>
      </c>
      <c r="F546" t="str">
        <f>"ACCT#80975-001 PCT#3"</f>
        <v>ACCT#80975-001 PCT#3</v>
      </c>
      <c r="G546" s="4">
        <v>80</v>
      </c>
      <c r="H546" t="str">
        <f>"ACCT#80975-001 PCT#3"</f>
        <v>ACCT#80975-001 PCT#3</v>
      </c>
    </row>
    <row r="547" spans="1:8" x14ac:dyDescent="0.25">
      <c r="E547" t="str">
        <f>"86317404"</f>
        <v>86317404</v>
      </c>
      <c r="F547" t="str">
        <f>"ACCT#80975-001 PCT#3"</f>
        <v>ACCT#80975-001 PCT#3</v>
      </c>
      <c r="G547" s="4">
        <v>76.63</v>
      </c>
      <c r="H547" t="str">
        <f>"ACCT#80975-001 PCT#3"</f>
        <v>ACCT#80975-001 PCT#3</v>
      </c>
    </row>
    <row r="548" spans="1:8" x14ac:dyDescent="0.25">
      <c r="E548" t="str">
        <f>"86473893"</f>
        <v>86473893</v>
      </c>
      <c r="F548" t="str">
        <f>"ACCT#80975-001 PCT#3"</f>
        <v>ACCT#80975-001 PCT#3</v>
      </c>
      <c r="G548" s="4">
        <v>63.66</v>
      </c>
      <c r="H548" t="str">
        <f>"ACCT#80975-001 PCT#3"</f>
        <v>ACCT#80975-001 PCT#3</v>
      </c>
    </row>
    <row r="549" spans="1:8" x14ac:dyDescent="0.25">
      <c r="E549" t="str">
        <f>"86643201"</f>
        <v>86643201</v>
      </c>
      <c r="F549" t="str">
        <f>"ACCT#80975-001 PCT#3"</f>
        <v>ACCT#80975-001 PCT#3</v>
      </c>
      <c r="G549" s="4">
        <v>880.26</v>
      </c>
      <c r="H549" t="str">
        <f>"ACCT#80975-001 PCT#3"</f>
        <v>ACCT#80975-001 PCT#3</v>
      </c>
    </row>
    <row r="550" spans="1:8" x14ac:dyDescent="0.25">
      <c r="E550" t="str">
        <f>"87076693"</f>
        <v>87076693</v>
      </c>
      <c r="F550" t="str">
        <f>"PARTS PCT#3"</f>
        <v>PARTS PCT#3</v>
      </c>
      <c r="G550" s="4">
        <v>504.78</v>
      </c>
      <c r="H550" t="str">
        <f>"PARTS PCT#3"</f>
        <v>PARTS PCT#3</v>
      </c>
    </row>
    <row r="551" spans="1:8" x14ac:dyDescent="0.25">
      <c r="E551" t="str">
        <f>"87077329"</f>
        <v>87077329</v>
      </c>
      <c r="F551" t="str">
        <f>"PARTS PCT#3"</f>
        <v>PARTS PCT#3</v>
      </c>
      <c r="G551" s="4">
        <v>12.58</v>
      </c>
      <c r="H551" t="str">
        <f>"PARTS PCT#3"</f>
        <v>PARTS PCT#3</v>
      </c>
    </row>
    <row r="552" spans="1:8" x14ac:dyDescent="0.25">
      <c r="A552" t="s">
        <v>153</v>
      </c>
      <c r="B552">
        <v>138406</v>
      </c>
      <c r="C552" s="4">
        <v>998.69</v>
      </c>
      <c r="D552" s="1">
        <v>44557</v>
      </c>
      <c r="E552" t="str">
        <f>"87333289"</f>
        <v>87333289</v>
      </c>
      <c r="F552" t="str">
        <f>"ACCT#80975-002/PCT#4"</f>
        <v>ACCT#80975-002/PCT#4</v>
      </c>
      <c r="G552" s="4">
        <v>477.3</v>
      </c>
      <c r="H552" t="str">
        <f>"ACCT#80975-002/PCT#4"</f>
        <v>ACCT#80975-002/PCT#4</v>
      </c>
    </row>
    <row r="553" spans="1:8" x14ac:dyDescent="0.25">
      <c r="E553" t="str">
        <f>"87679181"</f>
        <v>87679181</v>
      </c>
      <c r="F553" t="str">
        <f>"PARTS / PCT #3"</f>
        <v>PARTS / PCT #3</v>
      </c>
      <c r="G553" s="4">
        <v>75.510000000000005</v>
      </c>
      <c r="H553" t="str">
        <f>"PARTS / PCT #3"</f>
        <v>PARTS / PCT #3</v>
      </c>
    </row>
    <row r="554" spans="1:8" x14ac:dyDescent="0.25">
      <c r="E554" t="str">
        <f>"87756083"</f>
        <v>87756083</v>
      </c>
      <c r="F554" t="str">
        <f>"PARTS / PCT #3"</f>
        <v>PARTS / PCT #3</v>
      </c>
      <c r="G554" s="4">
        <v>173.23</v>
      </c>
      <c r="H554" t="str">
        <f>"PARTS / PCT #3"</f>
        <v>PARTS / PCT #3</v>
      </c>
    </row>
    <row r="555" spans="1:8" x14ac:dyDescent="0.25">
      <c r="E555" t="str">
        <f>"87833501"</f>
        <v>87833501</v>
      </c>
      <c r="F555" t="str">
        <f>"PARTS / PCT #3"</f>
        <v>PARTS / PCT #3</v>
      </c>
      <c r="G555" s="4">
        <v>272.64999999999998</v>
      </c>
      <c r="H555" t="str">
        <f>"PARTS / PCT #3"</f>
        <v>PARTS / PCT #3</v>
      </c>
    </row>
    <row r="556" spans="1:8" x14ac:dyDescent="0.25">
      <c r="A556" t="s">
        <v>154</v>
      </c>
      <c r="B556">
        <v>138228</v>
      </c>
      <c r="C556" s="4">
        <v>915</v>
      </c>
      <c r="D556" s="1">
        <v>44543</v>
      </c>
      <c r="E556" t="str">
        <f>"FM12291-I-0006"</f>
        <v>FM12291-I-0006</v>
      </c>
      <c r="F556" t="str">
        <f>"ACCT#FM12291/ANIMAL SVCS"</f>
        <v>ACCT#FM12291/ANIMAL SVCS</v>
      </c>
      <c r="G556" s="4">
        <v>915</v>
      </c>
      <c r="H556" t="str">
        <f>"ACCT#FM12291/ANIMAL SVCS"</f>
        <v>ACCT#FM12291/ANIMAL SVCS</v>
      </c>
    </row>
    <row r="557" spans="1:8" x14ac:dyDescent="0.25">
      <c r="A557" t="s">
        <v>155</v>
      </c>
      <c r="B557">
        <v>138407</v>
      </c>
      <c r="C557" s="4">
        <v>400</v>
      </c>
      <c r="D557" s="1">
        <v>44557</v>
      </c>
      <c r="E557" t="str">
        <f>"202112197889"</f>
        <v>202112197889</v>
      </c>
      <c r="F557" t="str">
        <f>"TRAINING"</f>
        <v>TRAINING</v>
      </c>
      <c r="G557" s="4">
        <v>200</v>
      </c>
      <c r="H557" t="str">
        <f>"J. GOGOLEWSKI"</f>
        <v>J. GOGOLEWSKI</v>
      </c>
    </row>
    <row r="558" spans="1:8" x14ac:dyDescent="0.25">
      <c r="E558" t="str">
        <f>""</f>
        <v/>
      </c>
      <c r="F558" t="str">
        <f>""</f>
        <v/>
      </c>
      <c r="G558" s="4">
        <v>200</v>
      </c>
      <c r="H558" t="str">
        <f>"A. YOUNG"</f>
        <v>A. YOUNG</v>
      </c>
    </row>
    <row r="559" spans="1:8" x14ac:dyDescent="0.25">
      <c r="A559" t="s">
        <v>156</v>
      </c>
      <c r="B559">
        <v>5582</v>
      </c>
      <c r="C559" s="4">
        <v>105.84</v>
      </c>
      <c r="D559" s="1">
        <v>44558</v>
      </c>
      <c r="E559" t="str">
        <f>"202112197931"</f>
        <v>202112197931</v>
      </c>
      <c r="F559" t="str">
        <f>"MILEAGE REIMBURSEMENT"</f>
        <v>MILEAGE REIMBURSEMENT</v>
      </c>
      <c r="G559" s="4">
        <v>105.84</v>
      </c>
      <c r="H559" t="str">
        <f>"MILEAGE REIMBURSEMENT"</f>
        <v>MILEAGE REIMBURSEMENT</v>
      </c>
    </row>
    <row r="560" spans="1:8" x14ac:dyDescent="0.25">
      <c r="A560" t="s">
        <v>157</v>
      </c>
      <c r="B560">
        <v>5518</v>
      </c>
      <c r="C560" s="4">
        <v>1656.94</v>
      </c>
      <c r="D560" s="1">
        <v>44544</v>
      </c>
      <c r="E560" t="str">
        <f>"81281AP"</f>
        <v>81281AP</v>
      </c>
      <c r="F560" t="str">
        <f>"ACCT#3324 PCT#3"</f>
        <v>ACCT#3324 PCT#3</v>
      </c>
      <c r="G560" s="4">
        <v>136.41999999999999</v>
      </c>
      <c r="H560" t="str">
        <f>"ACCT#3324 PCT#3"</f>
        <v>ACCT#3324 PCT#3</v>
      </c>
    </row>
    <row r="561" spans="1:8" x14ac:dyDescent="0.25">
      <c r="E561" t="str">
        <f>"81437AP"</f>
        <v>81437AP</v>
      </c>
      <c r="F561" t="str">
        <f>"ACCT#3324/PCT#3"</f>
        <v>ACCT#3324/PCT#3</v>
      </c>
      <c r="G561" s="4">
        <v>72.92</v>
      </c>
      <c r="H561" t="str">
        <f>"ACCT#3324/PCT#3"</f>
        <v>ACCT#3324/PCT#3</v>
      </c>
    </row>
    <row r="562" spans="1:8" x14ac:dyDescent="0.25">
      <c r="E562" t="str">
        <f>"81633AP"</f>
        <v>81633AP</v>
      </c>
      <c r="F562" t="str">
        <f>"ACCT#3324 PCT#3"</f>
        <v>ACCT#3324 PCT#3</v>
      </c>
      <c r="G562" s="4">
        <v>1213.32</v>
      </c>
      <c r="H562" t="str">
        <f>"ACCT#3324 PCT#3"</f>
        <v>ACCT#3324 PCT#3</v>
      </c>
    </row>
    <row r="563" spans="1:8" x14ac:dyDescent="0.25">
      <c r="E563" t="str">
        <f>"82309AP"</f>
        <v>82309AP</v>
      </c>
      <c r="F563" t="str">
        <f>"PARTS PCT#3"</f>
        <v>PARTS PCT#3</v>
      </c>
      <c r="G563" s="4">
        <v>134.47</v>
      </c>
      <c r="H563" t="str">
        <f>"PARTS PCT#3"</f>
        <v>PARTS PCT#3</v>
      </c>
    </row>
    <row r="564" spans="1:8" x14ac:dyDescent="0.25">
      <c r="E564" t="str">
        <f>"82352AP"</f>
        <v>82352AP</v>
      </c>
      <c r="F564" t="str">
        <f>"PARTS PCT#3"</f>
        <v>PARTS PCT#3</v>
      </c>
      <c r="G564" s="4">
        <v>99.81</v>
      </c>
      <c r="H564" t="str">
        <f>"PARTS PCT#3"</f>
        <v>PARTS PCT#3</v>
      </c>
    </row>
    <row r="565" spans="1:8" x14ac:dyDescent="0.25">
      <c r="A565" t="s">
        <v>158</v>
      </c>
      <c r="B565">
        <v>138229</v>
      </c>
      <c r="C565" s="4">
        <v>100</v>
      </c>
      <c r="D565" s="1">
        <v>44543</v>
      </c>
      <c r="E565" t="str">
        <f>"202112087709"</f>
        <v>202112087709</v>
      </c>
      <c r="F565" t="str">
        <f>"REGISTRATION FEE"</f>
        <v>REGISTRATION FEE</v>
      </c>
      <c r="G565" s="4">
        <v>100</v>
      </c>
      <c r="H565" t="str">
        <f>"REGISTRATION FEE"</f>
        <v>REGISTRATION FEE</v>
      </c>
    </row>
    <row r="566" spans="1:8" x14ac:dyDescent="0.25">
      <c r="A566" t="s">
        <v>159</v>
      </c>
      <c r="B566">
        <v>5526</v>
      </c>
      <c r="C566" s="4">
        <v>623.08000000000004</v>
      </c>
      <c r="D566" s="1">
        <v>44544</v>
      </c>
      <c r="E566" t="str">
        <f>"115813"</f>
        <v>115813</v>
      </c>
      <c r="F566" t="str">
        <f>"WINDOW ENV-DEVLPMNT SERVICES"</f>
        <v>WINDOW ENV-DEVLPMNT SERVICES</v>
      </c>
      <c r="G566" s="4">
        <v>128.97</v>
      </c>
      <c r="H566" t="str">
        <f>"WINDOW ENV-DEVLPMNT SERVICES"</f>
        <v>WINDOW ENV-DEVLPMNT SERVICES</v>
      </c>
    </row>
    <row r="567" spans="1:8" x14ac:dyDescent="0.25">
      <c r="E567" t="str">
        <f>"115851"</f>
        <v>115851</v>
      </c>
      <c r="F567" t="str">
        <f>"2021-2022 BUDGET BOOKS"</f>
        <v>2021-2022 BUDGET BOOKS</v>
      </c>
      <c r="G567" s="4">
        <v>494.11</v>
      </c>
      <c r="H567" t="str">
        <f>"2021-2022 BUDGET BOOKS"</f>
        <v>2021-2022 BUDGET BOOKS</v>
      </c>
    </row>
    <row r="568" spans="1:8" x14ac:dyDescent="0.25">
      <c r="A568" t="s">
        <v>159</v>
      </c>
      <c r="B568">
        <v>5588</v>
      </c>
      <c r="C568" s="4">
        <v>204.8</v>
      </c>
      <c r="D568" s="1">
        <v>44558</v>
      </c>
      <c r="E568" t="str">
        <f>"115889"</f>
        <v>115889</v>
      </c>
      <c r="F568" t="str">
        <f>"INV GC 115889"</f>
        <v>INV GC 115889</v>
      </c>
      <c r="G568" s="4">
        <v>163.84</v>
      </c>
      <c r="H568" t="str">
        <f>"INV GC 115889"</f>
        <v>INV GC 115889</v>
      </c>
    </row>
    <row r="569" spans="1:8" x14ac:dyDescent="0.25">
      <c r="E569" t="str">
        <f>"115890"</f>
        <v>115890</v>
      </c>
      <c r="F569" t="str">
        <f>"INV GC 115890"</f>
        <v>INV GC 115890</v>
      </c>
      <c r="G569" s="4">
        <v>40.96</v>
      </c>
      <c r="H569" t="str">
        <f>"INV GC 115890"</f>
        <v>INV GC 115890</v>
      </c>
    </row>
    <row r="570" spans="1:8" x14ac:dyDescent="0.25">
      <c r="A570" t="s">
        <v>160</v>
      </c>
      <c r="B570">
        <v>138230</v>
      </c>
      <c r="C570" s="4">
        <v>234.42</v>
      </c>
      <c r="D570" s="1">
        <v>44543</v>
      </c>
      <c r="E570" t="str">
        <f>"017121880"</f>
        <v>017121880</v>
      </c>
      <c r="F570" t="str">
        <f>"INV 017121880"</f>
        <v>INV 017121880</v>
      </c>
      <c r="G570" s="4">
        <v>95</v>
      </c>
      <c r="H570" t="str">
        <f>"INV 017121880"</f>
        <v>INV 017121880</v>
      </c>
    </row>
    <row r="571" spans="1:8" x14ac:dyDescent="0.25">
      <c r="E571" t="str">
        <f>"019802737"</f>
        <v>019802737</v>
      </c>
      <c r="F571" t="str">
        <f>"INV 019802737"</f>
        <v>INV 019802737</v>
      </c>
      <c r="G571" s="4">
        <v>11.48</v>
      </c>
      <c r="H571" t="str">
        <f>"INV 019802737"</f>
        <v>INV 019802737</v>
      </c>
    </row>
    <row r="572" spans="1:8" x14ac:dyDescent="0.25">
      <c r="E572" t="str">
        <f>"019802738"</f>
        <v>019802738</v>
      </c>
      <c r="F572" t="str">
        <f>"INV 019802738"</f>
        <v>INV 019802738</v>
      </c>
      <c r="G572" s="4">
        <v>11.48</v>
      </c>
      <c r="H572" t="str">
        <f>"INV 019802738"</f>
        <v>INV 019802738</v>
      </c>
    </row>
    <row r="573" spans="1:8" x14ac:dyDescent="0.25">
      <c r="E573" t="str">
        <f>"019802739"</f>
        <v>019802739</v>
      </c>
      <c r="F573" t="str">
        <f>"INV 019802739"</f>
        <v>INV 019802739</v>
      </c>
      <c r="G573" s="4">
        <v>22.96</v>
      </c>
      <c r="H573" t="str">
        <f>"INV 019802739"</f>
        <v>INV 019802739</v>
      </c>
    </row>
    <row r="574" spans="1:8" x14ac:dyDescent="0.25">
      <c r="E574" t="str">
        <f>"019870189"</f>
        <v>019870189</v>
      </c>
      <c r="F574" t="str">
        <f>"INV 019870189"</f>
        <v>INV 019870189</v>
      </c>
      <c r="G574" s="4">
        <v>93.5</v>
      </c>
      <c r="H574" t="str">
        <f>"INV 019870189"</f>
        <v>INV 019870189</v>
      </c>
    </row>
    <row r="575" spans="1:8" x14ac:dyDescent="0.25">
      <c r="A575" t="s">
        <v>160</v>
      </c>
      <c r="B575">
        <v>138408</v>
      </c>
      <c r="C575" s="4">
        <v>11.48</v>
      </c>
      <c r="D575" s="1">
        <v>44557</v>
      </c>
      <c r="E575" t="str">
        <f>"019943041"</f>
        <v>019943041</v>
      </c>
      <c r="F575" t="str">
        <f>"INV 019943041"</f>
        <v>INV 019943041</v>
      </c>
      <c r="G575" s="4">
        <v>11.48</v>
      </c>
      <c r="H575" t="str">
        <f>"INV 019943041"</f>
        <v>INV 019943041</v>
      </c>
    </row>
    <row r="576" spans="1:8" x14ac:dyDescent="0.25">
      <c r="A576" t="s">
        <v>161</v>
      </c>
      <c r="B576">
        <v>138231</v>
      </c>
      <c r="C576" s="4">
        <v>70</v>
      </c>
      <c r="D576" s="1">
        <v>44543</v>
      </c>
      <c r="E576" t="str">
        <f>"N75353"</f>
        <v>N75353</v>
      </c>
      <c r="F576" t="str">
        <f>"SHIRTS WITH LOGO"</f>
        <v>SHIRTS WITH LOGO</v>
      </c>
      <c r="G576" s="4">
        <v>70</v>
      </c>
      <c r="H576" t="str">
        <f>"SHIRTS WITH LOGO"</f>
        <v>SHIRTS WITH LOGO</v>
      </c>
    </row>
    <row r="577" spans="1:8" x14ac:dyDescent="0.25">
      <c r="A577" t="s">
        <v>162</v>
      </c>
      <c r="B577">
        <v>138232</v>
      </c>
      <c r="C577" s="4">
        <v>2200</v>
      </c>
      <c r="D577" s="1">
        <v>44543</v>
      </c>
      <c r="E577" t="str">
        <f>"1162"</f>
        <v>1162</v>
      </c>
      <c r="F577" t="str">
        <f>"TRANSPORT - S.A. TIEMANN"</f>
        <v>TRANSPORT - S.A. TIEMANN</v>
      </c>
      <c r="G577" s="4">
        <v>425</v>
      </c>
      <c r="H577" t="str">
        <f>"TRANSPORT - S.A. TIEMANN"</f>
        <v>TRANSPORT - S.A. TIEMANN</v>
      </c>
    </row>
    <row r="578" spans="1:8" x14ac:dyDescent="0.25">
      <c r="E578" t="str">
        <f>"1166"</f>
        <v>1166</v>
      </c>
      <c r="F578" t="str">
        <f>"TRANSPORT - A. TINADO"</f>
        <v>TRANSPORT - A. TINADO</v>
      </c>
      <c r="G578" s="4">
        <v>675</v>
      </c>
      <c r="H578" t="str">
        <f>"TRANSPORT - A. TINADO"</f>
        <v>TRANSPORT - A. TINADO</v>
      </c>
    </row>
    <row r="579" spans="1:8" x14ac:dyDescent="0.25">
      <c r="E579" t="str">
        <f>"1167"</f>
        <v>1167</v>
      </c>
      <c r="F579" t="str">
        <f>"TRANSPORT - K.W. WILLIAMSON"</f>
        <v>TRANSPORT - K.W. WILLIAMSON</v>
      </c>
      <c r="G579" s="4">
        <v>350</v>
      </c>
      <c r="H579" t="str">
        <f>"TRANSPORT - K.W. WILLIAMSON"</f>
        <v>TRANSPORT - K.W. WILLIAMSON</v>
      </c>
    </row>
    <row r="580" spans="1:8" x14ac:dyDescent="0.25">
      <c r="E580" t="str">
        <f>"1175"</f>
        <v>1175</v>
      </c>
      <c r="F580" t="str">
        <f>"TRANSPORT - R.E WEILBACHER"</f>
        <v>TRANSPORT - R.E WEILBACHER</v>
      </c>
      <c r="G580" s="4">
        <v>750</v>
      </c>
      <c r="H580" t="str">
        <f>"TRANSPORT - R.E WEILBACHER"</f>
        <v>TRANSPORT - R.E WEILBACHER</v>
      </c>
    </row>
    <row r="581" spans="1:8" x14ac:dyDescent="0.25">
      <c r="A581" t="s">
        <v>163</v>
      </c>
      <c r="B581">
        <v>138409</v>
      </c>
      <c r="C581" s="4">
        <v>784.44</v>
      </c>
      <c r="D581" s="1">
        <v>44557</v>
      </c>
      <c r="E581" t="str">
        <f>"27785"</f>
        <v>27785</v>
      </c>
      <c r="F581" t="str">
        <f>"INV 27785"</f>
        <v>INV 27785</v>
      </c>
      <c r="G581" s="4">
        <v>784.44</v>
      </c>
      <c r="H581" t="str">
        <f>"INV 27785"</f>
        <v>INV 27785</v>
      </c>
    </row>
    <row r="582" spans="1:8" x14ac:dyDescent="0.25">
      <c r="A582" t="s">
        <v>164</v>
      </c>
      <c r="B582">
        <v>138410</v>
      </c>
      <c r="C582" s="4">
        <v>60.85</v>
      </c>
      <c r="D582" s="1">
        <v>44557</v>
      </c>
      <c r="E582" t="str">
        <f>"9146147658"</f>
        <v>9146147658</v>
      </c>
      <c r="F582" t="str">
        <f>"INV 9146147658"</f>
        <v>INV 9146147658</v>
      </c>
      <c r="G582" s="4">
        <v>60.85</v>
      </c>
      <c r="H582" t="str">
        <f>"INV 9146147658"</f>
        <v>INV 9146147658</v>
      </c>
    </row>
    <row r="583" spans="1:8" x14ac:dyDescent="0.25">
      <c r="A583" t="s">
        <v>165</v>
      </c>
      <c r="B583">
        <v>138233</v>
      </c>
      <c r="C583" s="4">
        <v>412.72</v>
      </c>
      <c r="D583" s="1">
        <v>44543</v>
      </c>
      <c r="E583" t="str">
        <f>"2396"</f>
        <v>2396</v>
      </c>
      <c r="F583" t="str">
        <f>"423-6396 - INTERPRETING SVCS"</f>
        <v>423-6396 - INTERPRETING SVCS</v>
      </c>
      <c r="G583" s="4">
        <v>412.72</v>
      </c>
      <c r="H583" t="str">
        <f>"423-6396 - INTERPRETING SVCS"</f>
        <v>423-6396 - INTERPRETING SVCS</v>
      </c>
    </row>
    <row r="584" spans="1:8" x14ac:dyDescent="0.25">
      <c r="A584" t="s">
        <v>165</v>
      </c>
      <c r="B584">
        <v>138411</v>
      </c>
      <c r="C584" s="4">
        <v>366.08</v>
      </c>
      <c r="D584" s="1">
        <v>44557</v>
      </c>
      <c r="E584" t="str">
        <f>"2405"</f>
        <v>2405</v>
      </c>
      <c r="F584" t="str">
        <f>"INTERPRETER/MILEAGE"</f>
        <v>INTERPRETER/MILEAGE</v>
      </c>
      <c r="G584" s="4">
        <v>366.08</v>
      </c>
      <c r="H584" t="str">
        <f>"INTERPRETER/MILEAGE"</f>
        <v>INTERPRETER/MILEAGE</v>
      </c>
    </row>
    <row r="585" spans="1:8" x14ac:dyDescent="0.25">
      <c r="A585" t="s">
        <v>166</v>
      </c>
      <c r="B585">
        <v>138234</v>
      </c>
      <c r="C585" s="4">
        <v>50</v>
      </c>
      <c r="D585" s="1">
        <v>44543</v>
      </c>
      <c r="E585" t="str">
        <f>"202111297443"</f>
        <v>202111297443</v>
      </c>
      <c r="F585" t="str">
        <f>"FERAL HOGS"</f>
        <v>FERAL HOGS</v>
      </c>
      <c r="G585" s="4">
        <v>15</v>
      </c>
      <c r="H585" t="str">
        <f>"FERAL HOGS"</f>
        <v>FERAL HOGS</v>
      </c>
    </row>
    <row r="586" spans="1:8" x14ac:dyDescent="0.25">
      <c r="E586" t="str">
        <f>"202111297444"</f>
        <v>202111297444</v>
      </c>
      <c r="F586" t="str">
        <f>"FERAL HOGS"</f>
        <v>FERAL HOGS</v>
      </c>
      <c r="G586" s="4">
        <v>35</v>
      </c>
      <c r="H586" t="str">
        <f>"FERAL HOGS"</f>
        <v>FERAL HOGS</v>
      </c>
    </row>
    <row r="587" spans="1:8" x14ac:dyDescent="0.25">
      <c r="A587" t="s">
        <v>167</v>
      </c>
      <c r="B587">
        <v>5527</v>
      </c>
      <c r="C587" s="4">
        <v>2093.2600000000002</v>
      </c>
      <c r="D587" s="1">
        <v>44544</v>
      </c>
      <c r="E587" t="str">
        <f>"0874260 0876177"</f>
        <v>0874260 0876177</v>
      </c>
      <c r="F587" t="str">
        <f>"INV 0874260 / 0876177"</f>
        <v>INV 0874260 / 0876177</v>
      </c>
      <c r="G587" s="4">
        <v>164.93</v>
      </c>
      <c r="H587" t="str">
        <f>"INV 0874260"</f>
        <v>INV 0874260</v>
      </c>
    </row>
    <row r="588" spans="1:8" x14ac:dyDescent="0.25">
      <c r="E588" t="str">
        <f>""</f>
        <v/>
      </c>
      <c r="F588" t="str">
        <f>""</f>
        <v/>
      </c>
      <c r="G588" s="4">
        <v>493.47</v>
      </c>
      <c r="H588" t="str">
        <f>"INV 0876177"</f>
        <v>INV 0876177</v>
      </c>
    </row>
    <row r="589" spans="1:8" x14ac:dyDescent="0.25">
      <c r="E589" t="str">
        <f>"0875108"</f>
        <v>0875108</v>
      </c>
      <c r="F589" t="str">
        <f>"INV0875108"</f>
        <v>INV0875108</v>
      </c>
      <c r="G589" s="4">
        <v>346.41</v>
      </c>
      <c r="H589" t="str">
        <f>"INV0875108"</f>
        <v>INV0875108</v>
      </c>
    </row>
    <row r="590" spans="1:8" x14ac:dyDescent="0.25">
      <c r="E590" t="str">
        <f>"0875241 0875869"</f>
        <v>0875241 0875869</v>
      </c>
      <c r="F590" t="str">
        <f>"INV0875241  INV0875869"</f>
        <v>INV0875241  INV0875869</v>
      </c>
      <c r="G590" s="4">
        <v>76.98</v>
      </c>
      <c r="H590" t="str">
        <f>"INV0875241"</f>
        <v>INV0875241</v>
      </c>
    </row>
    <row r="591" spans="1:8" x14ac:dyDescent="0.25">
      <c r="E591" t="str">
        <f>""</f>
        <v/>
      </c>
      <c r="F591" t="str">
        <f>""</f>
        <v/>
      </c>
      <c r="G591" s="4">
        <v>38.49</v>
      </c>
      <c r="H591" t="str">
        <f>"INV0875869"</f>
        <v>INV0875869</v>
      </c>
    </row>
    <row r="592" spans="1:8" x14ac:dyDescent="0.25">
      <c r="E592" t="str">
        <f>"0875596"</f>
        <v>0875596</v>
      </c>
      <c r="F592" t="str">
        <f>"INV 0875596"</f>
        <v>INV 0875596</v>
      </c>
      <c r="G592" s="4">
        <v>430</v>
      </c>
      <c r="H592" t="str">
        <f>"INV 0875596"</f>
        <v>INV 0875596</v>
      </c>
    </row>
    <row r="593" spans="1:8" x14ac:dyDescent="0.25">
      <c r="E593" t="str">
        <f>""</f>
        <v/>
      </c>
      <c r="F593" t="str">
        <f>""</f>
        <v/>
      </c>
      <c r="G593" s="4">
        <v>430</v>
      </c>
      <c r="H593" t="str">
        <f>"INV 0875596"</f>
        <v>INV 0875596</v>
      </c>
    </row>
    <row r="594" spans="1:8" x14ac:dyDescent="0.25">
      <c r="E594" t="str">
        <f>"0876502"</f>
        <v>0876502</v>
      </c>
      <c r="F594" t="str">
        <f>"INV 0876502"</f>
        <v>INV 0876502</v>
      </c>
      <c r="G594" s="4">
        <v>99.98</v>
      </c>
      <c r="H594" t="str">
        <f>"INV 0876502"</f>
        <v>INV 0876502</v>
      </c>
    </row>
    <row r="595" spans="1:8" x14ac:dyDescent="0.25">
      <c r="E595" t="str">
        <f>"875093"</f>
        <v>875093</v>
      </c>
      <c r="F595" t="str">
        <f>"INV 0875093"</f>
        <v>INV 0875093</v>
      </c>
      <c r="G595" s="4">
        <v>13</v>
      </c>
      <c r="H595" t="str">
        <f>"INV 0875093"</f>
        <v>INV 0875093</v>
      </c>
    </row>
    <row r="596" spans="1:8" x14ac:dyDescent="0.25">
      <c r="A596" t="s">
        <v>167</v>
      </c>
      <c r="B596">
        <v>5589</v>
      </c>
      <c r="C596" s="4">
        <v>451.57</v>
      </c>
      <c r="D596" s="1">
        <v>44558</v>
      </c>
      <c r="E596" t="str">
        <f>"0876733  0787582"</f>
        <v>0876733  0787582</v>
      </c>
      <c r="F596" t="str">
        <f>"INV 0876733 / 0787582"</f>
        <v>INV 0876733 / 0787582</v>
      </c>
      <c r="G596" s="4">
        <v>4</v>
      </c>
      <c r="H596" t="str">
        <f>"INV 0876733"</f>
        <v>INV 0876733</v>
      </c>
    </row>
    <row r="597" spans="1:8" x14ac:dyDescent="0.25">
      <c r="E597" t="str">
        <f>""</f>
        <v/>
      </c>
      <c r="F597" t="str">
        <f>""</f>
        <v/>
      </c>
      <c r="G597" s="4">
        <v>16</v>
      </c>
      <c r="H597" t="str">
        <f>"INV 0787582"</f>
        <v>INV 0787582</v>
      </c>
    </row>
    <row r="598" spans="1:8" x14ac:dyDescent="0.25">
      <c r="E598" t="str">
        <f>"0877919"</f>
        <v>0877919</v>
      </c>
      <c r="F598" t="str">
        <f>"INV 0877919"</f>
        <v>INV 0877919</v>
      </c>
      <c r="G598" s="4">
        <v>288.77</v>
      </c>
      <c r="H598" t="str">
        <f>"INV 0877919"</f>
        <v>INV 0877919</v>
      </c>
    </row>
    <row r="599" spans="1:8" x14ac:dyDescent="0.25">
      <c r="E599" t="str">
        <f>"INV0879725"</f>
        <v>INV0879725</v>
      </c>
      <c r="F599" t="str">
        <f>"INV0879725"</f>
        <v>INV0879725</v>
      </c>
      <c r="G599" s="4">
        <v>142.80000000000001</v>
      </c>
      <c r="H599" t="str">
        <f>"INV0879725"</f>
        <v>INV0879725</v>
      </c>
    </row>
    <row r="600" spans="1:8" x14ac:dyDescent="0.25">
      <c r="A600" t="s">
        <v>168</v>
      </c>
      <c r="B600">
        <v>138412</v>
      </c>
      <c r="C600" s="4">
        <v>2</v>
      </c>
      <c r="D600" s="1">
        <v>44557</v>
      </c>
      <c r="E600" t="str">
        <f>"13390"</f>
        <v>13390</v>
      </c>
      <c r="F600" t="str">
        <f>"SERVICE"</f>
        <v>SERVICE</v>
      </c>
      <c r="G600" s="4">
        <v>2</v>
      </c>
      <c r="H600" t="str">
        <f>"SERVICE"</f>
        <v>SERVICE</v>
      </c>
    </row>
    <row r="601" spans="1:8" x14ac:dyDescent="0.25">
      <c r="A601" t="s">
        <v>169</v>
      </c>
      <c r="B601">
        <v>5543</v>
      </c>
      <c r="C601" s="4">
        <v>2100.4899999999998</v>
      </c>
      <c r="D601" s="1">
        <v>44544</v>
      </c>
      <c r="E601" t="str">
        <f>"2134173"</f>
        <v>2134173</v>
      </c>
      <c r="F601" t="str">
        <f>"INV 2134173  2143096"</f>
        <v>INV 2134173  2143096</v>
      </c>
      <c r="G601" s="4">
        <v>476.1</v>
      </c>
      <c r="H601" t="str">
        <f>"INV 2134173"</f>
        <v>INV 2134173</v>
      </c>
    </row>
    <row r="602" spans="1:8" x14ac:dyDescent="0.25">
      <c r="E602" t="str">
        <f>""</f>
        <v/>
      </c>
      <c r="F602" t="str">
        <f>""</f>
        <v/>
      </c>
      <c r="G602" s="4">
        <v>194.3</v>
      </c>
      <c r="H602" t="str">
        <f>"INV 2143096"</f>
        <v>INV 2143096</v>
      </c>
    </row>
    <row r="603" spans="1:8" x14ac:dyDescent="0.25">
      <c r="E603" t="str">
        <f>"2143098"</f>
        <v>2143098</v>
      </c>
      <c r="F603" t="str">
        <f>"Gulf Coast"</f>
        <v>Gulf Coast</v>
      </c>
      <c r="G603" s="4">
        <v>546.9</v>
      </c>
      <c r="H603" t="str">
        <f>"GP89480"</f>
        <v>GP89480</v>
      </c>
    </row>
    <row r="604" spans="1:8" x14ac:dyDescent="0.25">
      <c r="E604" t="str">
        <f>""</f>
        <v/>
      </c>
      <c r="F604" t="str">
        <f>""</f>
        <v/>
      </c>
      <c r="G604" s="4">
        <v>737.1</v>
      </c>
      <c r="H604" t="str">
        <f>"GP19371"</f>
        <v>GP19371</v>
      </c>
    </row>
    <row r="605" spans="1:8" x14ac:dyDescent="0.25">
      <c r="E605" t="str">
        <f>""</f>
        <v/>
      </c>
      <c r="F605" t="str">
        <f>""</f>
        <v/>
      </c>
      <c r="G605" s="4">
        <v>98.04</v>
      </c>
      <c r="H605" t="str">
        <f>"GP20389"</f>
        <v>GP20389</v>
      </c>
    </row>
    <row r="606" spans="1:8" x14ac:dyDescent="0.25">
      <c r="E606" t="str">
        <f>""</f>
        <v/>
      </c>
      <c r="F606" t="str">
        <f>""</f>
        <v/>
      </c>
      <c r="G606" s="4">
        <v>20.86</v>
      </c>
      <c r="H606" t="str">
        <f>"NABC"</f>
        <v>NABC</v>
      </c>
    </row>
    <row r="607" spans="1:8" x14ac:dyDescent="0.25">
      <c r="E607" t="str">
        <f>""</f>
        <v/>
      </c>
      <c r="F607" t="str">
        <f>""</f>
        <v/>
      </c>
      <c r="G607" s="4">
        <v>27.19</v>
      </c>
      <c r="H607" t="str">
        <f>"CREWBOWLCLN"</f>
        <v>CREWBOWLCLN</v>
      </c>
    </row>
    <row r="608" spans="1:8" x14ac:dyDescent="0.25">
      <c r="A608" t="s">
        <v>170</v>
      </c>
      <c r="B608">
        <v>5539</v>
      </c>
      <c r="C608" s="4">
        <v>747.6</v>
      </c>
      <c r="D608" s="1">
        <v>44544</v>
      </c>
      <c r="E608" t="str">
        <f>"10062771"</f>
        <v>10062771</v>
      </c>
      <c r="F608" t="str">
        <f>"PROJ#032285.011 PCT#1"</f>
        <v>PROJ#032285.011 PCT#1</v>
      </c>
      <c r="G608" s="4">
        <v>747.6</v>
      </c>
      <c r="H608" t="str">
        <f>"PROJ#032285.011 PCT#1"</f>
        <v>PROJ#032285.011 PCT#1</v>
      </c>
    </row>
    <row r="609" spans="1:8" x14ac:dyDescent="0.25">
      <c r="A609" t="s">
        <v>170</v>
      </c>
      <c r="B609">
        <v>5597</v>
      </c>
      <c r="C609" s="4">
        <v>11578.39</v>
      </c>
      <c r="D609" s="1">
        <v>44558</v>
      </c>
      <c r="E609" t="str">
        <f>"10063908"</f>
        <v>10063908</v>
      </c>
      <c r="F609" t="str">
        <f>"AVO 42445/2021 FLOOD INFRASTRU"</f>
        <v>AVO 42445/2021 FLOOD INFRASTRU</v>
      </c>
      <c r="G609" s="4">
        <v>11578.39</v>
      </c>
      <c r="H609" t="str">
        <f>"AVO 42445/2021 FLOOD INFRASTRU"</f>
        <v>AVO 42445/2021 FLOOD INFRASTRU</v>
      </c>
    </row>
    <row r="610" spans="1:8" x14ac:dyDescent="0.25">
      <c r="A610" t="s">
        <v>171</v>
      </c>
      <c r="B610">
        <v>138413</v>
      </c>
      <c r="C610" s="4">
        <v>375</v>
      </c>
      <c r="D610" s="1">
        <v>44557</v>
      </c>
      <c r="E610" t="str">
        <f>"13186"</f>
        <v>13186</v>
      </c>
      <c r="F610" t="str">
        <f>"SERVICE"</f>
        <v>SERVICE</v>
      </c>
      <c r="G610" s="4">
        <v>150</v>
      </c>
      <c r="H610" t="str">
        <f>"SERVICE"</f>
        <v>SERVICE</v>
      </c>
    </row>
    <row r="611" spans="1:8" x14ac:dyDescent="0.25">
      <c r="E611" t="str">
        <f>"13224"</f>
        <v>13224</v>
      </c>
      <c r="F611" t="str">
        <f>"SERVICE"</f>
        <v>SERVICE</v>
      </c>
      <c r="G611" s="4">
        <v>225</v>
      </c>
      <c r="H611" t="str">
        <f>"SERVICE"</f>
        <v>SERVICE</v>
      </c>
    </row>
    <row r="612" spans="1:8" x14ac:dyDescent="0.25">
      <c r="A612" t="s">
        <v>172</v>
      </c>
      <c r="B612">
        <v>138414</v>
      </c>
      <c r="C612" s="4">
        <v>300</v>
      </c>
      <c r="D612" s="1">
        <v>44557</v>
      </c>
      <c r="E612" t="str">
        <f>"13224"</f>
        <v>13224</v>
      </c>
      <c r="F612" t="str">
        <f>"SERVICE"</f>
        <v>SERVICE</v>
      </c>
      <c r="G612" s="4">
        <v>225</v>
      </c>
      <c r="H612" t="str">
        <f>"SERVICE"</f>
        <v>SERVICE</v>
      </c>
    </row>
    <row r="613" spans="1:8" x14ac:dyDescent="0.25">
      <c r="E613" t="str">
        <f>"13412"</f>
        <v>13412</v>
      </c>
      <c r="F613" t="str">
        <f>"SERVICE"</f>
        <v>SERVICE</v>
      </c>
      <c r="G613" s="4">
        <v>75</v>
      </c>
      <c r="H613" t="str">
        <f>"SERVICE"</f>
        <v>SERVICE</v>
      </c>
    </row>
    <row r="614" spans="1:8" x14ac:dyDescent="0.25">
      <c r="A614" t="s">
        <v>173</v>
      </c>
      <c r="B614">
        <v>138415</v>
      </c>
      <c r="C614" s="4">
        <v>150</v>
      </c>
      <c r="D614" s="1">
        <v>44557</v>
      </c>
      <c r="E614" t="str">
        <f>"12690"</f>
        <v>12690</v>
      </c>
      <c r="F614" t="str">
        <f>"SERVICE"</f>
        <v>SERVICE</v>
      </c>
      <c r="G614" s="4">
        <v>150</v>
      </c>
      <c r="H614" t="str">
        <f>"SERVICE"</f>
        <v>SERVICE</v>
      </c>
    </row>
    <row r="615" spans="1:8" x14ac:dyDescent="0.25">
      <c r="A615" t="s">
        <v>174</v>
      </c>
      <c r="B615">
        <v>138416</v>
      </c>
      <c r="C615" s="4">
        <v>900.46</v>
      </c>
      <c r="D615" s="1">
        <v>44557</v>
      </c>
      <c r="E615" t="str">
        <f>"31915"</f>
        <v>31915</v>
      </c>
      <c r="F615" t="str">
        <f>"RIP RAP / PCT #3"</f>
        <v>RIP RAP / PCT #3</v>
      </c>
      <c r="G615" s="4">
        <v>900.46</v>
      </c>
      <c r="H615" t="str">
        <f>"RIP RAP / PCT #3"</f>
        <v>RIP RAP / PCT #3</v>
      </c>
    </row>
    <row r="616" spans="1:8" x14ac:dyDescent="0.25">
      <c r="A616" t="s">
        <v>175</v>
      </c>
      <c r="B616">
        <v>138235</v>
      </c>
      <c r="C616" s="4">
        <v>160</v>
      </c>
      <c r="D616" s="1">
        <v>44543</v>
      </c>
      <c r="E616" t="str">
        <f>"202111297442"</f>
        <v>202111297442</v>
      </c>
      <c r="F616" t="str">
        <f>"FERAL HOGS"</f>
        <v>FERAL HOGS</v>
      </c>
      <c r="G616" s="4">
        <v>160</v>
      </c>
      <c r="H616" t="str">
        <f>"FERAL HOGS"</f>
        <v>FERAL HOGS</v>
      </c>
    </row>
    <row r="617" spans="1:8" x14ac:dyDescent="0.25">
      <c r="A617" t="s">
        <v>176</v>
      </c>
      <c r="B617">
        <v>5529</v>
      </c>
      <c r="C617" s="4">
        <v>650</v>
      </c>
      <c r="D617" s="1">
        <v>44544</v>
      </c>
      <c r="E617" t="str">
        <f>"202112077698"</f>
        <v>202112077698</v>
      </c>
      <c r="F617" t="str">
        <f>"BASCOM L HODGES JR"</f>
        <v>BASCOM L HODGES JR</v>
      </c>
      <c r="G617" s="4">
        <v>650</v>
      </c>
      <c r="H617" t="str">
        <f>""</f>
        <v/>
      </c>
    </row>
    <row r="618" spans="1:8" x14ac:dyDescent="0.25">
      <c r="A618" t="s">
        <v>177</v>
      </c>
      <c r="B618">
        <v>138236</v>
      </c>
      <c r="C618" s="4">
        <v>550</v>
      </c>
      <c r="D618" s="1">
        <v>44543</v>
      </c>
      <c r="E618" t="str">
        <f>"202112027585"</f>
        <v>202112027585</v>
      </c>
      <c r="F618" t="str">
        <f>"20-20262"</f>
        <v>20-20262</v>
      </c>
      <c r="G618" s="4">
        <v>150</v>
      </c>
      <c r="H618" t="str">
        <f>"20-20262"</f>
        <v>20-20262</v>
      </c>
    </row>
    <row r="619" spans="1:8" x14ac:dyDescent="0.25">
      <c r="E619" t="str">
        <f>"202112027586"</f>
        <v>202112027586</v>
      </c>
      <c r="F619" t="str">
        <f>"20-20508"</f>
        <v>20-20508</v>
      </c>
      <c r="G619" s="4">
        <v>150</v>
      </c>
      <c r="H619" t="str">
        <f>"20-20508"</f>
        <v>20-20508</v>
      </c>
    </row>
    <row r="620" spans="1:8" x14ac:dyDescent="0.25">
      <c r="E620" t="str">
        <f>"202112027587"</f>
        <v>202112027587</v>
      </c>
      <c r="F620" t="str">
        <f>"58 166"</f>
        <v>58 166</v>
      </c>
      <c r="G620" s="4">
        <v>250</v>
      </c>
      <c r="H620" t="str">
        <f>"58 166"</f>
        <v>58 166</v>
      </c>
    </row>
    <row r="621" spans="1:8" x14ac:dyDescent="0.25">
      <c r="A621" t="s">
        <v>177</v>
      </c>
      <c r="B621">
        <v>138417</v>
      </c>
      <c r="C621" s="4">
        <v>450</v>
      </c>
      <c r="D621" s="1">
        <v>44557</v>
      </c>
      <c r="E621" t="str">
        <f>"202112167851"</f>
        <v>202112167851</v>
      </c>
      <c r="F621" t="str">
        <f>"07-11417"</f>
        <v>07-11417</v>
      </c>
      <c r="G621" s="4">
        <v>150</v>
      </c>
      <c r="H621" t="str">
        <f>"07-11417"</f>
        <v>07-11417</v>
      </c>
    </row>
    <row r="622" spans="1:8" x14ac:dyDescent="0.25">
      <c r="E622" t="str">
        <f>"202112167852"</f>
        <v>202112167852</v>
      </c>
      <c r="F622" t="str">
        <f>"04-8963"</f>
        <v>04-8963</v>
      </c>
      <c r="G622" s="4">
        <v>150</v>
      </c>
      <c r="H622" t="str">
        <f>"04-8963"</f>
        <v>04-8963</v>
      </c>
    </row>
    <row r="623" spans="1:8" x14ac:dyDescent="0.25">
      <c r="E623" t="str">
        <f>"202112167853"</f>
        <v>202112167853</v>
      </c>
      <c r="F623" t="str">
        <f>"18-19246"</f>
        <v>18-19246</v>
      </c>
      <c r="G623" s="4">
        <v>150</v>
      </c>
      <c r="H623" t="str">
        <f>"18-19246"</f>
        <v>18-19246</v>
      </c>
    </row>
    <row r="624" spans="1:8" x14ac:dyDescent="0.25">
      <c r="A624" t="s">
        <v>178</v>
      </c>
      <c r="B624">
        <v>5528</v>
      </c>
      <c r="C624" s="4">
        <v>45.89</v>
      </c>
      <c r="D624" s="1">
        <v>44544</v>
      </c>
      <c r="E624" t="str">
        <f>"PIM60076190"</f>
        <v>PIM60076190</v>
      </c>
      <c r="F624" t="str">
        <f>"CUST#0129050/PCT#1"</f>
        <v>CUST#0129050/PCT#1</v>
      </c>
      <c r="G624" s="4">
        <v>45.89</v>
      </c>
      <c r="H624" t="str">
        <f>"CUST#0129050/PCT#1"</f>
        <v>CUST#0129050/PCT#1</v>
      </c>
    </row>
    <row r="625" spans="1:8" x14ac:dyDescent="0.25">
      <c r="A625" t="s">
        <v>178</v>
      </c>
      <c r="B625">
        <v>5590</v>
      </c>
      <c r="C625" s="4">
        <v>1026.6600000000001</v>
      </c>
      <c r="D625" s="1">
        <v>44558</v>
      </c>
      <c r="E625" t="str">
        <f>"PCM60017891"</f>
        <v>PCM60017891</v>
      </c>
      <c r="F625" t="str">
        <f>"CUST#0129200/PCT#4"</f>
        <v>CUST#0129200/PCT#4</v>
      </c>
      <c r="G625" s="4">
        <v>-279.25</v>
      </c>
      <c r="H625" t="str">
        <f>"CUST#0129200/PCT#4"</f>
        <v>CUST#0129200/PCT#4</v>
      </c>
    </row>
    <row r="626" spans="1:8" x14ac:dyDescent="0.25">
      <c r="E626" t="str">
        <f>"PIM60074053"</f>
        <v>PIM60074053</v>
      </c>
      <c r="F626" t="str">
        <f>"CUST#0129200/PCT#4"</f>
        <v>CUST#0129200/PCT#4</v>
      </c>
      <c r="G626" s="4">
        <v>279.25</v>
      </c>
      <c r="H626" t="str">
        <f>"CUST#0129200/PCT#4"</f>
        <v>CUST#0129200/PCT#4</v>
      </c>
    </row>
    <row r="627" spans="1:8" x14ac:dyDescent="0.25">
      <c r="E627" t="str">
        <f>"PIM60075796"</f>
        <v>PIM60075796</v>
      </c>
      <c r="F627" t="str">
        <f>"PARTS / PCT #1"</f>
        <v>PARTS / PCT #1</v>
      </c>
      <c r="G627" s="4">
        <v>520.76</v>
      </c>
      <c r="H627" t="str">
        <f>"PARTS / PCT #1"</f>
        <v>PARTS / PCT #1</v>
      </c>
    </row>
    <row r="628" spans="1:8" x14ac:dyDescent="0.25">
      <c r="E628" t="str">
        <f>"PIM60078513"</f>
        <v>PIM60078513</v>
      </c>
      <c r="F628" t="str">
        <f>"CUST#0129200/PCT#4"</f>
        <v>CUST#0129200/PCT#4</v>
      </c>
      <c r="G628" s="4">
        <v>353.4</v>
      </c>
      <c r="H628" t="str">
        <f>"CUST#0129200/PCT#4"</f>
        <v>CUST#0129200/PCT#4</v>
      </c>
    </row>
    <row r="629" spans="1:8" x14ac:dyDescent="0.25">
      <c r="E629" t="str">
        <f>"PIM60078514"</f>
        <v>PIM60078514</v>
      </c>
      <c r="F629" t="str">
        <f>"CUST#0129200/PCT#4"</f>
        <v>CUST#0129200/PCT#4</v>
      </c>
      <c r="G629" s="4">
        <v>152.5</v>
      </c>
      <c r="H629" t="str">
        <f>"CUST#0129200/PCT#4"</f>
        <v>CUST#0129200/PCT#4</v>
      </c>
    </row>
    <row r="630" spans="1:8" x14ac:dyDescent="0.25">
      <c r="A630" t="s">
        <v>179</v>
      </c>
      <c r="B630">
        <v>138418</v>
      </c>
      <c r="C630" s="4">
        <v>1131.81</v>
      </c>
      <c r="D630" s="1">
        <v>44557</v>
      </c>
      <c r="E630" t="str">
        <f>"202112197893"</f>
        <v>202112197893</v>
      </c>
      <c r="F630" t="str">
        <f>"Statement"</f>
        <v>Statement</v>
      </c>
      <c r="G630" s="4">
        <v>525.71</v>
      </c>
      <c r="H630" t="str">
        <f>"1101143"</f>
        <v>1101143</v>
      </c>
    </row>
    <row r="631" spans="1:8" x14ac:dyDescent="0.25">
      <c r="E631" t="str">
        <f>""</f>
        <v/>
      </c>
      <c r="F631" t="str">
        <f>""</f>
        <v/>
      </c>
      <c r="G631" s="4">
        <v>802.45</v>
      </c>
      <c r="H631" t="str">
        <f>"1973475"</f>
        <v>1973475</v>
      </c>
    </row>
    <row r="632" spans="1:8" x14ac:dyDescent="0.25">
      <c r="E632" t="str">
        <f>""</f>
        <v/>
      </c>
      <c r="F632" t="str">
        <f>""</f>
        <v/>
      </c>
      <c r="G632" s="4">
        <v>-629.07000000000005</v>
      </c>
      <c r="H632" t="str">
        <f>"1101142"</f>
        <v>1101142</v>
      </c>
    </row>
    <row r="633" spans="1:8" x14ac:dyDescent="0.25">
      <c r="E633" t="str">
        <f>""</f>
        <v/>
      </c>
      <c r="F633" t="str">
        <f>""</f>
        <v/>
      </c>
      <c r="G633" s="4">
        <v>23.94</v>
      </c>
      <c r="H633" t="str">
        <f>"533520"</f>
        <v>533520</v>
      </c>
    </row>
    <row r="634" spans="1:8" x14ac:dyDescent="0.25">
      <c r="E634" t="str">
        <f>""</f>
        <v/>
      </c>
      <c r="F634" t="str">
        <f>""</f>
        <v/>
      </c>
      <c r="G634" s="4">
        <v>137.72999999999999</v>
      </c>
      <c r="H634" t="str">
        <f>"9540737"</f>
        <v>9540737</v>
      </c>
    </row>
    <row r="635" spans="1:8" x14ac:dyDescent="0.25">
      <c r="E635" t="str">
        <f>""</f>
        <v/>
      </c>
      <c r="F635" t="str">
        <f>""</f>
        <v/>
      </c>
      <c r="G635" s="4">
        <v>142.22999999999999</v>
      </c>
      <c r="H635" t="str">
        <f>"533521"</f>
        <v>533521</v>
      </c>
    </row>
    <row r="636" spans="1:8" x14ac:dyDescent="0.25">
      <c r="E636" t="str">
        <f>""</f>
        <v/>
      </c>
      <c r="F636" t="str">
        <f>""</f>
        <v/>
      </c>
      <c r="G636" s="4">
        <v>128.82</v>
      </c>
      <c r="H636" t="str">
        <f>"6512308"</f>
        <v>6512308</v>
      </c>
    </row>
    <row r="637" spans="1:8" x14ac:dyDescent="0.25">
      <c r="A637" t="s">
        <v>180</v>
      </c>
      <c r="B637">
        <v>5584</v>
      </c>
      <c r="C637" s="4">
        <v>505</v>
      </c>
      <c r="D637" s="1">
        <v>44558</v>
      </c>
      <c r="E637" t="str">
        <f>"0552480871"</f>
        <v>0552480871</v>
      </c>
      <c r="F637" t="str">
        <f>"CUST#212645-0001/601 COOL WATE"</f>
        <v>CUST#212645-0001/601 COOL WATE</v>
      </c>
      <c r="G637" s="4">
        <v>290</v>
      </c>
      <c r="H637" t="str">
        <f>"CUST#212645-0001/601 COOL WATE"</f>
        <v>CUST#212645-0001/601 COOL WATE</v>
      </c>
    </row>
    <row r="638" spans="1:8" x14ac:dyDescent="0.25">
      <c r="E638" t="str">
        <f>"0552483468"</f>
        <v>0552483468</v>
      </c>
      <c r="F638" t="str">
        <f>"CUST#212645/ORD#212645-0002"</f>
        <v>CUST#212645/ORD#212645-0002</v>
      </c>
      <c r="G638" s="4">
        <v>215</v>
      </c>
      <c r="H638" t="str">
        <f>"CUST#212645/ORD#212645-0002"</f>
        <v>CUST#212645/ORD#212645-0002</v>
      </c>
    </row>
    <row r="639" spans="1:8" x14ac:dyDescent="0.25">
      <c r="A639" t="s">
        <v>181</v>
      </c>
      <c r="B639">
        <v>5513</v>
      </c>
      <c r="C639" s="4">
        <v>592.5</v>
      </c>
      <c r="D639" s="1">
        <v>44544</v>
      </c>
      <c r="E639" t="str">
        <f>"BCAS_11012021"</f>
        <v>BCAS_11012021</v>
      </c>
      <c r="F639" t="str">
        <f>"SHELTERLUV SOFTWARE"</f>
        <v>SHELTERLUV SOFTWARE</v>
      </c>
      <c r="G639" s="4">
        <v>592.5</v>
      </c>
      <c r="H639" t="str">
        <f>"SHELTERLUV SOFTWARE"</f>
        <v>SHELTERLUV SOFTWARE</v>
      </c>
    </row>
    <row r="640" spans="1:8" x14ac:dyDescent="0.25">
      <c r="A640" t="s">
        <v>182</v>
      </c>
      <c r="B640">
        <v>138237</v>
      </c>
      <c r="C640" s="4">
        <v>5</v>
      </c>
      <c r="D640" s="1">
        <v>44543</v>
      </c>
      <c r="E640" t="str">
        <f>"202111297441"</f>
        <v>202111297441</v>
      </c>
      <c r="F640" t="str">
        <f>"FERAL HOGS"</f>
        <v>FERAL HOGS</v>
      </c>
      <c r="G640" s="4">
        <v>5</v>
      </c>
      <c r="H640" t="str">
        <f>"FERAL HOGS"</f>
        <v>FERAL HOGS</v>
      </c>
    </row>
    <row r="641" spans="1:8" x14ac:dyDescent="0.25">
      <c r="A641" t="s">
        <v>183</v>
      </c>
      <c r="B641">
        <v>138238</v>
      </c>
      <c r="C641" s="4">
        <v>1262.5</v>
      </c>
      <c r="D641" s="1">
        <v>44543</v>
      </c>
      <c r="E641" t="str">
        <f>"WI-34634-L5B1"</f>
        <v>WI-34634-L5B1</v>
      </c>
      <c r="F641" t="str">
        <f>"WORK ORD#2021/11/15-WO026925"</f>
        <v>WORK ORD#2021/11/15-WO026925</v>
      </c>
      <c r="G641" s="4">
        <v>1262.5</v>
      </c>
      <c r="H641" t="str">
        <f>"WORK ORD#2021/11/15-WO026925"</f>
        <v>WORK ORD#2021/11/15-WO026925</v>
      </c>
    </row>
    <row r="642" spans="1:8" x14ac:dyDescent="0.25">
      <c r="A642" t="s">
        <v>184</v>
      </c>
      <c r="B642">
        <v>5495</v>
      </c>
      <c r="C642" s="4">
        <v>430.87</v>
      </c>
      <c r="D642" s="1">
        <v>44544</v>
      </c>
      <c r="E642" t="str">
        <f>"208655"</f>
        <v>208655</v>
      </c>
      <c r="F642" t="str">
        <f>"PARTS PCT#3"</f>
        <v>PARTS PCT#3</v>
      </c>
      <c r="G642" s="4">
        <v>66.98</v>
      </c>
      <c r="H642" t="str">
        <f>"PARTS PCT#3"</f>
        <v>PARTS PCT#3</v>
      </c>
    </row>
    <row r="643" spans="1:8" x14ac:dyDescent="0.25">
      <c r="E643" t="str">
        <f>"208729"</f>
        <v>208729</v>
      </c>
      <c r="F643" t="str">
        <f>"SPIRAL HOSE/OEM"</f>
        <v>SPIRAL HOSE/OEM</v>
      </c>
      <c r="G643" s="4">
        <v>363.89</v>
      </c>
      <c r="H643" t="str">
        <f>"SPIRAL HOSE/OEM"</f>
        <v>SPIRAL HOSE/OEM</v>
      </c>
    </row>
    <row r="644" spans="1:8" x14ac:dyDescent="0.25">
      <c r="A644" t="s">
        <v>184</v>
      </c>
      <c r="B644">
        <v>5568</v>
      </c>
      <c r="C644" s="4">
        <v>344.76</v>
      </c>
      <c r="D644" s="1">
        <v>44558</v>
      </c>
      <c r="E644" t="str">
        <f>"208844"</f>
        <v>208844</v>
      </c>
      <c r="F644" t="str">
        <f>"WIRE BRAIDED HOSE/WILDFIRE MIT"</f>
        <v>WIRE BRAIDED HOSE/WILDFIRE MIT</v>
      </c>
      <c r="G644" s="4">
        <v>245.18</v>
      </c>
      <c r="H644" t="str">
        <f>"WIRE BRAIDED HOSE/WILDFIRE MIT"</f>
        <v>WIRE BRAIDED HOSE/WILDFIRE MIT</v>
      </c>
    </row>
    <row r="645" spans="1:8" x14ac:dyDescent="0.25">
      <c r="E645" t="str">
        <f>"208869"</f>
        <v>208869</v>
      </c>
      <c r="F645" t="str">
        <f>"HOSE/PLUG/WILDFIRE MIIGATION"</f>
        <v>HOSE/PLUG/WILDFIRE MIIGATION</v>
      </c>
      <c r="G645" s="4">
        <v>99.58</v>
      </c>
      <c r="H645" t="str">
        <f>"HOSE/PLUG/WILDFIRE MIIGATION"</f>
        <v>HOSE/PLUG/WILDFIRE MIIGATION</v>
      </c>
    </row>
    <row r="646" spans="1:8" x14ac:dyDescent="0.25">
      <c r="A646" t="s">
        <v>185</v>
      </c>
      <c r="B646">
        <v>138419</v>
      </c>
      <c r="C646" s="4">
        <v>5650</v>
      </c>
      <c r="D646" s="1">
        <v>44557</v>
      </c>
      <c r="E646" t="str">
        <f>"2021121503"</f>
        <v>2021121503</v>
      </c>
      <c r="F646" t="str">
        <f>"JUSTICE CASHIERING &amp; COL SOFTW"</f>
        <v>JUSTICE CASHIERING &amp; COL SOFTW</v>
      </c>
      <c r="G646" s="4">
        <v>5650</v>
      </c>
      <c r="H646" t="str">
        <f>"JUSTICE CASHIERING &amp; COL SOFTW"</f>
        <v>JUSTICE CASHIERING &amp; COL SOFTW</v>
      </c>
    </row>
    <row r="647" spans="1:8" x14ac:dyDescent="0.25">
      <c r="A647" t="s">
        <v>186</v>
      </c>
      <c r="B647">
        <v>5554</v>
      </c>
      <c r="C647" s="4">
        <v>1575</v>
      </c>
      <c r="D647" s="1">
        <v>44558</v>
      </c>
      <c r="E647" t="str">
        <f>"W4912300"</f>
        <v>W4912300</v>
      </c>
      <c r="F647" t="str">
        <f>"INV W4912300"</f>
        <v>INV W4912300</v>
      </c>
      <c r="G647" s="4">
        <v>1575</v>
      </c>
      <c r="H647" t="str">
        <f>"INV W4912300"</f>
        <v>INV W4912300</v>
      </c>
    </row>
    <row r="648" spans="1:8" x14ac:dyDescent="0.25">
      <c r="A648" t="s">
        <v>187</v>
      </c>
      <c r="B648">
        <v>138239</v>
      </c>
      <c r="C648" s="4">
        <v>204</v>
      </c>
      <c r="D648" s="1">
        <v>44543</v>
      </c>
      <c r="E648" t="str">
        <f>"3096605613"</f>
        <v>3096605613</v>
      </c>
      <c r="F648" t="str">
        <f>"ACCT#187947/ANIMAL CONTROL"</f>
        <v>ACCT#187947/ANIMAL CONTROL</v>
      </c>
      <c r="G648" s="4">
        <v>204</v>
      </c>
      <c r="H648" t="str">
        <f>"ACCT#187947/ANIMAL CONTROL"</f>
        <v>ACCT#187947/ANIMAL CONTROL</v>
      </c>
    </row>
    <row r="649" spans="1:8" x14ac:dyDescent="0.25">
      <c r="A649" t="s">
        <v>188</v>
      </c>
      <c r="B649">
        <v>5517</v>
      </c>
      <c r="C649" s="4">
        <v>3633</v>
      </c>
      <c r="D649" s="1">
        <v>44544</v>
      </c>
      <c r="E649" t="str">
        <f>"8210"</f>
        <v>8210</v>
      </c>
      <c r="F649" t="str">
        <f>"INDUSTRIAL LAMINATES CORPORATI"</f>
        <v>INDUSTRIAL LAMINATES CORPORATI</v>
      </c>
      <c r="G649" s="4">
        <v>3633</v>
      </c>
      <c r="H649" t="str">
        <f>"Guard 4 Flooring"</f>
        <v>Guard 4 Flooring</v>
      </c>
    </row>
    <row r="650" spans="1:8" x14ac:dyDescent="0.25">
      <c r="A650" t="s">
        <v>188</v>
      </c>
      <c r="B650">
        <v>5585</v>
      </c>
      <c r="C650" s="4">
        <v>17109</v>
      </c>
      <c r="D650" s="1">
        <v>44558</v>
      </c>
      <c r="E650" t="str">
        <f>"ORDER #4"</f>
        <v>ORDER #4</v>
      </c>
      <c r="F650" t="str">
        <f>"CHANGE ORDER/BASTROP CO REMODE"</f>
        <v>CHANGE ORDER/BASTROP CO REMODE</v>
      </c>
      <c r="G650" s="4">
        <v>17109</v>
      </c>
      <c r="H650" t="str">
        <f>"CHANGE ORDER/BASTROP CO REMODE"</f>
        <v>CHANGE ORDER/BASTROP CO REMODE</v>
      </c>
    </row>
    <row r="651" spans="1:8" x14ac:dyDescent="0.25">
      <c r="A651" t="s">
        <v>189</v>
      </c>
      <c r="B651">
        <v>5536</v>
      </c>
      <c r="C651" s="4">
        <v>2430</v>
      </c>
      <c r="D651" s="1">
        <v>44544</v>
      </c>
      <c r="E651" t="str">
        <f>"72780"</f>
        <v>72780</v>
      </c>
      <c r="F651" t="str">
        <f>"PROF SVCS - JANUARY 2022"</f>
        <v>PROF SVCS - JANUARY 2022</v>
      </c>
      <c r="G651" s="4">
        <v>1973</v>
      </c>
      <c r="H651" t="str">
        <f>"PROF SVCS - JANUARY 2022"</f>
        <v>PROF SVCS - JANUARY 2022</v>
      </c>
    </row>
    <row r="652" spans="1:8" x14ac:dyDescent="0.25">
      <c r="E652" t="str">
        <f>""</f>
        <v/>
      </c>
      <c r="F652" t="str">
        <f>""</f>
        <v/>
      </c>
      <c r="G652" s="4">
        <v>457</v>
      </c>
      <c r="H652" t="str">
        <f>"PROF SVCS - JANUARY 2022"</f>
        <v>PROF SVCS - JANUARY 2022</v>
      </c>
    </row>
    <row r="653" spans="1:8" x14ac:dyDescent="0.25">
      <c r="A653" t="s">
        <v>190</v>
      </c>
      <c r="B653">
        <v>138240</v>
      </c>
      <c r="C653" s="4">
        <v>180.12</v>
      </c>
      <c r="D653" s="1">
        <v>44543</v>
      </c>
      <c r="E653" t="str">
        <f>"GCGV632"</f>
        <v>GCGV632</v>
      </c>
      <c r="F653" t="str">
        <f>"CUST ID#AX773/COUNTY CLERK"</f>
        <v>CUST ID#AX773/COUNTY CLERK</v>
      </c>
      <c r="G653" s="4">
        <v>180.12</v>
      </c>
      <c r="H653" t="str">
        <f>"CUST ID#AX773/COUNTY CLERK"</f>
        <v>CUST ID#AX773/COUNTY CLERK</v>
      </c>
    </row>
    <row r="654" spans="1:8" x14ac:dyDescent="0.25">
      <c r="A654" t="s">
        <v>191</v>
      </c>
      <c r="B654">
        <v>5576</v>
      </c>
      <c r="C654" s="4">
        <v>91.72</v>
      </c>
      <c r="D654" s="1">
        <v>44558</v>
      </c>
      <c r="E654" t="str">
        <f>"202112167830"</f>
        <v>202112167830</v>
      </c>
      <c r="F654" t="str">
        <f>"CASE#8701"</f>
        <v>CASE#8701</v>
      </c>
      <c r="G654" s="4">
        <v>91.72</v>
      </c>
      <c r="H654" t="str">
        <f>"CASE#8701"</f>
        <v>CASE#8701</v>
      </c>
    </row>
    <row r="655" spans="1:8" x14ac:dyDescent="0.25">
      <c r="A655" t="s">
        <v>192</v>
      </c>
      <c r="B655">
        <v>138420</v>
      </c>
      <c r="C655" s="4">
        <v>466.35</v>
      </c>
      <c r="D655" s="1">
        <v>44557</v>
      </c>
      <c r="E655" t="str">
        <f>"9106364274"</f>
        <v>9106364274</v>
      </c>
      <c r="F655" t="str">
        <f>"CUST#200304181/PCT#4"</f>
        <v>CUST#200304181/PCT#4</v>
      </c>
      <c r="G655" s="4">
        <v>466.35</v>
      </c>
      <c r="H655" t="str">
        <f>"CUST#200304181/PCT#4"</f>
        <v>CUST#200304181/PCT#4</v>
      </c>
    </row>
    <row r="656" spans="1:8" x14ac:dyDescent="0.25">
      <c r="A656" t="s">
        <v>193</v>
      </c>
      <c r="B656">
        <v>138421</v>
      </c>
      <c r="C656" s="4">
        <v>150</v>
      </c>
      <c r="D656" s="1">
        <v>44557</v>
      </c>
      <c r="E656" t="str">
        <f>"202112197879"</f>
        <v>202112197879</v>
      </c>
      <c r="F656" t="str">
        <f>"PER DIEM"</f>
        <v>PER DIEM</v>
      </c>
      <c r="G656" s="4">
        <v>150</v>
      </c>
      <c r="H656" t="str">
        <f>"PER DIEM"</f>
        <v>PER DIEM</v>
      </c>
    </row>
    <row r="657" spans="1:8" x14ac:dyDescent="0.25">
      <c r="A657" t="s">
        <v>194</v>
      </c>
      <c r="B657">
        <v>138422</v>
      </c>
      <c r="C657" s="4">
        <v>115.49</v>
      </c>
      <c r="D657" s="1">
        <v>44557</v>
      </c>
      <c r="E657" t="str">
        <f>"202112197870"</f>
        <v>202112197870</v>
      </c>
      <c r="F657" t="str">
        <f>"REIMBURSMENT-SUPPLIES"</f>
        <v>REIMBURSMENT-SUPPLIES</v>
      </c>
      <c r="G657" s="4">
        <v>10</v>
      </c>
      <c r="H657" t="str">
        <f>"REIMBURSMENT-SUPPLIES"</f>
        <v>REIMBURSMENT-SUPPLIES</v>
      </c>
    </row>
    <row r="658" spans="1:8" x14ac:dyDescent="0.25">
      <c r="E658" t="str">
        <f>""</f>
        <v/>
      </c>
      <c r="F658" t="str">
        <f>""</f>
        <v/>
      </c>
      <c r="G658" s="4">
        <v>36.29</v>
      </c>
      <c r="H658" t="str">
        <f>"REIMBURSMENT-SUPPLIES"</f>
        <v>REIMBURSMENT-SUPPLIES</v>
      </c>
    </row>
    <row r="659" spans="1:8" x14ac:dyDescent="0.25">
      <c r="E659" t="str">
        <f>""</f>
        <v/>
      </c>
      <c r="F659" t="str">
        <f>""</f>
        <v/>
      </c>
      <c r="G659" s="4">
        <v>69.2</v>
      </c>
      <c r="H659" t="str">
        <f>"REIMBURSMENT-SUPPLIES"</f>
        <v>REIMBURSMENT-SUPPLIES</v>
      </c>
    </row>
    <row r="660" spans="1:8" x14ac:dyDescent="0.25">
      <c r="A660" t="s">
        <v>195</v>
      </c>
      <c r="B660">
        <v>138241</v>
      </c>
      <c r="C660" s="4">
        <v>189.42</v>
      </c>
      <c r="D660" s="1">
        <v>44543</v>
      </c>
      <c r="E660" t="str">
        <f>"202112087730"</f>
        <v>202112087730</v>
      </c>
      <c r="F660" t="str">
        <f>"REIMBURSEMENT WORK BOOTS"</f>
        <v>REIMBURSEMENT WORK BOOTS</v>
      </c>
      <c r="G660" s="4">
        <v>189.42</v>
      </c>
      <c r="H660" t="str">
        <f>"REIMBURSEMENT WORK BOOTS"</f>
        <v>REIMBURSEMENT WORK BOOTS</v>
      </c>
    </row>
    <row r="661" spans="1:8" x14ac:dyDescent="0.25">
      <c r="A661" t="s">
        <v>196</v>
      </c>
      <c r="B661">
        <v>138242</v>
      </c>
      <c r="C661" s="4">
        <v>7</v>
      </c>
      <c r="D661" s="1">
        <v>44543</v>
      </c>
      <c r="E661" t="str">
        <f>"78782"</f>
        <v>78782</v>
      </c>
      <c r="F661" t="str">
        <f>"2011 FORD INSP/PCT#4"</f>
        <v>2011 FORD INSP/PCT#4</v>
      </c>
      <c r="G661" s="4">
        <v>7</v>
      </c>
      <c r="H661" t="str">
        <f>"2011 FORD INSP/PCT#4"</f>
        <v>2011 FORD INSP/PCT#4</v>
      </c>
    </row>
    <row r="662" spans="1:8" x14ac:dyDescent="0.25">
      <c r="A662" t="s">
        <v>197</v>
      </c>
      <c r="B662">
        <v>138423</v>
      </c>
      <c r="C662" s="4">
        <v>90</v>
      </c>
      <c r="D662" s="1">
        <v>44557</v>
      </c>
      <c r="E662" t="str">
        <f>"202112197891"</f>
        <v>202112197891</v>
      </c>
      <c r="F662" t="str">
        <f>"PER DIEM"</f>
        <v>PER DIEM</v>
      </c>
      <c r="G662" s="4">
        <v>90</v>
      </c>
      <c r="H662" t="str">
        <f>"PER DIEM"</f>
        <v>PER DIEM</v>
      </c>
    </row>
    <row r="663" spans="1:8" x14ac:dyDescent="0.25">
      <c r="A663" t="s">
        <v>198</v>
      </c>
      <c r="B663">
        <v>5549</v>
      </c>
      <c r="C663" s="4">
        <v>500</v>
      </c>
      <c r="D663" s="1">
        <v>44544</v>
      </c>
      <c r="E663" t="str">
        <f>"202111307456"</f>
        <v>202111307456</v>
      </c>
      <c r="F663" t="str">
        <f>"BC20210216 TRN9253593717A001"</f>
        <v>BC20210216 TRN9253593717A001</v>
      </c>
      <c r="G663" s="4">
        <v>250</v>
      </c>
      <c r="H663" t="str">
        <f>"BC20210216 TRN9253593717A001"</f>
        <v>BC20210216 TRN9253593717A001</v>
      </c>
    </row>
    <row r="664" spans="1:8" x14ac:dyDescent="0.25">
      <c r="E664" t="str">
        <f>"202112027605"</f>
        <v>202112027605</v>
      </c>
      <c r="F664" t="str">
        <f>"J-3213"</f>
        <v>J-3213</v>
      </c>
      <c r="G664" s="4">
        <v>250</v>
      </c>
      <c r="H664" t="str">
        <f>"J-3213"</f>
        <v>J-3213</v>
      </c>
    </row>
    <row r="665" spans="1:8" x14ac:dyDescent="0.25">
      <c r="A665" t="s">
        <v>198</v>
      </c>
      <c r="B665">
        <v>5602</v>
      </c>
      <c r="C665" s="4">
        <v>745.57</v>
      </c>
      <c r="D665" s="1">
        <v>44558</v>
      </c>
      <c r="E665" t="str">
        <f>"12849"</f>
        <v>12849</v>
      </c>
      <c r="F665" t="str">
        <f>"AD LITEM FEE"</f>
        <v>AD LITEM FEE</v>
      </c>
      <c r="G665" s="4">
        <v>150</v>
      </c>
      <c r="H665" t="str">
        <f>"AD LITEM FEE"</f>
        <v>AD LITEM FEE</v>
      </c>
    </row>
    <row r="666" spans="1:8" x14ac:dyDescent="0.25">
      <c r="E666" t="str">
        <f>"13186  10/21/2021"</f>
        <v>13186  10/21/2021</v>
      </c>
      <c r="F666" t="str">
        <f>"AD LITEM FEE"</f>
        <v>AD LITEM FEE</v>
      </c>
      <c r="G666" s="4">
        <v>45.57</v>
      </c>
      <c r="H666" t="str">
        <f>"AD LITEM FEE"</f>
        <v>AD LITEM FEE</v>
      </c>
    </row>
    <row r="667" spans="1:8" x14ac:dyDescent="0.25">
      <c r="E667" t="str">
        <f>"13364"</f>
        <v>13364</v>
      </c>
      <c r="F667" t="str">
        <f>"AD LITEM FEE"</f>
        <v>AD LITEM FEE</v>
      </c>
      <c r="G667" s="4">
        <v>150</v>
      </c>
      <c r="H667" t="str">
        <f>"AD LITEM FEE"</f>
        <v>AD LITEM FEE</v>
      </c>
    </row>
    <row r="668" spans="1:8" x14ac:dyDescent="0.25">
      <c r="E668" t="str">
        <f>"202112167825"</f>
        <v>202112167825</v>
      </c>
      <c r="F668" t="str">
        <f>"21-21040"</f>
        <v>21-21040</v>
      </c>
      <c r="G668" s="4">
        <v>150</v>
      </c>
      <c r="H668" t="str">
        <f>"21-21040"</f>
        <v>21-21040</v>
      </c>
    </row>
    <row r="669" spans="1:8" x14ac:dyDescent="0.25">
      <c r="E669" t="str">
        <f>"202112197912"</f>
        <v>202112197912</v>
      </c>
      <c r="F669" t="str">
        <f>"58 187"</f>
        <v>58 187</v>
      </c>
      <c r="G669" s="4">
        <v>250</v>
      </c>
      <c r="H669" t="str">
        <f>"58 187"</f>
        <v>58 187</v>
      </c>
    </row>
    <row r="670" spans="1:8" x14ac:dyDescent="0.25">
      <c r="A670" t="s">
        <v>199</v>
      </c>
      <c r="B670">
        <v>138424</v>
      </c>
      <c r="C670" s="4">
        <v>238.14</v>
      </c>
      <c r="D670" s="1">
        <v>44557</v>
      </c>
      <c r="E670" t="str">
        <f>"202112207955"</f>
        <v>202112207955</v>
      </c>
      <c r="F670" t="str">
        <f>"REIMBURSEMENT - BOOTS"</f>
        <v>REIMBURSEMENT - BOOTS</v>
      </c>
      <c r="G670" s="4">
        <v>238.14</v>
      </c>
      <c r="H670" t="str">
        <f>"REIMBURSEMENT - BOOTS"</f>
        <v>REIMBURSEMENT - BOOTS</v>
      </c>
    </row>
    <row r="671" spans="1:8" x14ac:dyDescent="0.25">
      <c r="A671" t="s">
        <v>200</v>
      </c>
      <c r="B671">
        <v>138243</v>
      </c>
      <c r="C671" s="4">
        <v>114.7</v>
      </c>
      <c r="D671" s="1">
        <v>44543</v>
      </c>
      <c r="E671" t="str">
        <f>"202111307491"</f>
        <v>202111307491</v>
      </c>
      <c r="F671" t="str">
        <f>"REIMBURSEMENT"</f>
        <v>REIMBURSEMENT</v>
      </c>
      <c r="G671" s="4">
        <v>114.7</v>
      </c>
      <c r="H671" t="str">
        <f>"REIMBURSEMENT"</f>
        <v>REIMBURSEMENT</v>
      </c>
    </row>
    <row r="672" spans="1:8" x14ac:dyDescent="0.25">
      <c r="A672" t="s">
        <v>201</v>
      </c>
      <c r="B672">
        <v>138244</v>
      </c>
      <c r="C672" s="4">
        <v>80</v>
      </c>
      <c r="D672" s="1">
        <v>44543</v>
      </c>
      <c r="E672" t="str">
        <f>"202111297440"</f>
        <v>202111297440</v>
      </c>
      <c r="F672" t="str">
        <f>"FERAL HOGS"</f>
        <v>FERAL HOGS</v>
      </c>
      <c r="G672" s="4">
        <v>80</v>
      </c>
      <c r="H672" t="str">
        <f>"FERAL HOGS"</f>
        <v>FERAL HOGS</v>
      </c>
    </row>
    <row r="673" spans="1:8" x14ac:dyDescent="0.25">
      <c r="A673" t="s">
        <v>202</v>
      </c>
      <c r="B673">
        <v>138245</v>
      </c>
      <c r="C673" s="4">
        <v>140</v>
      </c>
      <c r="D673" s="1">
        <v>44543</v>
      </c>
      <c r="E673" t="str">
        <f>"202111297439"</f>
        <v>202111297439</v>
      </c>
      <c r="F673" t="str">
        <f>"FERAL HOGS"</f>
        <v>FERAL HOGS</v>
      </c>
      <c r="G673" s="4">
        <v>140</v>
      </c>
      <c r="H673" t="str">
        <f>"FERAL HOGS"</f>
        <v>FERAL HOGS</v>
      </c>
    </row>
    <row r="674" spans="1:8" x14ac:dyDescent="0.25">
      <c r="A674" t="s">
        <v>203</v>
      </c>
      <c r="B674">
        <v>138246</v>
      </c>
      <c r="C674" s="4">
        <v>25</v>
      </c>
      <c r="D674" s="1">
        <v>44543</v>
      </c>
      <c r="E674" t="s">
        <v>113</v>
      </c>
      <c r="F674" s="4" t="str">
        <f>"RESTITUTION - MARCUS MANZANARE"</f>
        <v>RESTITUTION - MARCUS MANZANARE</v>
      </c>
      <c r="G674" s="4">
        <v>25</v>
      </c>
      <c r="H674" t="str">
        <f>"RESTITUTION - MARCUS MANZANARE"</f>
        <v>RESTITUTION - MARCUS MANZANARE</v>
      </c>
    </row>
    <row r="675" spans="1:8" x14ac:dyDescent="0.25">
      <c r="A675" t="s">
        <v>204</v>
      </c>
      <c r="B675">
        <v>5540</v>
      </c>
      <c r="C675" s="4">
        <v>7025</v>
      </c>
      <c r="D675" s="1">
        <v>44544</v>
      </c>
      <c r="E675" t="str">
        <f>"202111307486"</f>
        <v>202111307486</v>
      </c>
      <c r="F675" t="str">
        <f>"17216"</f>
        <v>17216</v>
      </c>
      <c r="G675" s="4">
        <v>2025</v>
      </c>
      <c r="H675" t="str">
        <f>"17216"</f>
        <v>17216</v>
      </c>
    </row>
    <row r="676" spans="1:8" x14ac:dyDescent="0.25">
      <c r="E676" t="str">
        <f>"202112027629"</f>
        <v>202112027629</v>
      </c>
      <c r="F676" t="str">
        <f>"17146"</f>
        <v>17146</v>
      </c>
      <c r="G676" s="4">
        <v>850</v>
      </c>
      <c r="H676" t="str">
        <f>"17146"</f>
        <v>17146</v>
      </c>
    </row>
    <row r="677" spans="1:8" x14ac:dyDescent="0.25">
      <c r="E677" t="str">
        <f>"202112027630"</f>
        <v>202112027630</v>
      </c>
      <c r="F677" t="str">
        <f>"17412"</f>
        <v>17412</v>
      </c>
      <c r="G677" s="4">
        <v>400</v>
      </c>
      <c r="H677" t="str">
        <f>"17412"</f>
        <v>17412</v>
      </c>
    </row>
    <row r="678" spans="1:8" x14ac:dyDescent="0.25">
      <c r="E678" t="str">
        <f>"202112027631"</f>
        <v>202112027631</v>
      </c>
      <c r="F678" t="str">
        <f>"17526 4060921-16 4060921-17"</f>
        <v>17526 4060921-16 4060921-17</v>
      </c>
      <c r="G678" s="4">
        <v>800</v>
      </c>
      <c r="H678" t="str">
        <f>"17526 4060921-16 4060921-17"</f>
        <v>17526 4060921-16 4060921-17</v>
      </c>
    </row>
    <row r="679" spans="1:8" x14ac:dyDescent="0.25">
      <c r="E679" t="str">
        <f>"202112027632"</f>
        <v>202112027632</v>
      </c>
      <c r="F679" t="str">
        <f>"1962-335"</f>
        <v>1962-335</v>
      </c>
      <c r="G679" s="4">
        <v>100</v>
      </c>
      <c r="H679" t="str">
        <f>"1962-335"</f>
        <v>1962-335</v>
      </c>
    </row>
    <row r="680" spans="1:8" x14ac:dyDescent="0.25">
      <c r="E680" t="str">
        <f>"202112027633"</f>
        <v>202112027633</v>
      </c>
      <c r="F680" t="str">
        <f>"02-0613-2-19 02-0613-03-19"</f>
        <v>02-0613-2-19 02-0613-03-19</v>
      </c>
      <c r="G680" s="4">
        <v>600</v>
      </c>
      <c r="H680" t="str">
        <f>"02-0613-2-19 02-0613-03-19"</f>
        <v>02-0613-2-19 02-0613-03-19</v>
      </c>
    </row>
    <row r="681" spans="1:8" x14ac:dyDescent="0.25">
      <c r="E681" t="str">
        <f>"202112027634"</f>
        <v>202112027634</v>
      </c>
      <c r="F681" t="str">
        <f>"DCPC-21-070 02-0217-1 02-0914-"</f>
        <v>DCPC-21-070 02-0217-1 02-0914-</v>
      </c>
      <c r="G681" s="4">
        <v>600</v>
      </c>
      <c r="H681" t="str">
        <f>"DCPC-21-070 02-0217-1 02-0914-"</f>
        <v>DCPC-21-070 02-0217-1 02-0914-</v>
      </c>
    </row>
    <row r="682" spans="1:8" x14ac:dyDescent="0.25">
      <c r="E682" t="str">
        <f>"202112027635"</f>
        <v>202112027635</v>
      </c>
      <c r="F682" t="str">
        <f>"02.0815.1 02.0217.2"</f>
        <v>02.0815.1 02.0217.2</v>
      </c>
      <c r="G682" s="4">
        <v>400</v>
      </c>
      <c r="H682" t="str">
        <f>"02.0815.1 02.0217.2"</f>
        <v>02.0815.1 02.0217.2</v>
      </c>
    </row>
    <row r="683" spans="1:8" x14ac:dyDescent="0.25">
      <c r="E683" t="str">
        <f>"202112067661"</f>
        <v>202112067661</v>
      </c>
      <c r="F683" t="str">
        <f>"4012421-1"</f>
        <v>4012421-1</v>
      </c>
      <c r="G683" s="4">
        <v>400</v>
      </c>
      <c r="H683" t="str">
        <f>"4012421-1"</f>
        <v>4012421-1</v>
      </c>
    </row>
    <row r="684" spans="1:8" x14ac:dyDescent="0.25">
      <c r="E684" t="str">
        <f>"202112067667"</f>
        <v>202112067667</v>
      </c>
      <c r="F684" t="str">
        <f>"423-8200"</f>
        <v>423-8200</v>
      </c>
      <c r="G684" s="4">
        <v>100</v>
      </c>
      <c r="H684" t="str">
        <f>"423-8200"</f>
        <v>423-8200</v>
      </c>
    </row>
    <row r="685" spans="1:8" x14ac:dyDescent="0.25">
      <c r="E685" t="str">
        <f>"202112067668"</f>
        <v>202112067668</v>
      </c>
      <c r="F685" t="str">
        <f>"423-8204"</f>
        <v>423-8204</v>
      </c>
      <c r="G685" s="4">
        <v>100</v>
      </c>
      <c r="H685" t="str">
        <f>"423-8204"</f>
        <v>423-8204</v>
      </c>
    </row>
    <row r="686" spans="1:8" x14ac:dyDescent="0.25">
      <c r="E686" t="str">
        <f>"202112067674"</f>
        <v>202112067674</v>
      </c>
      <c r="F686" t="str">
        <f>"02-0217-3"</f>
        <v>02-0217-3</v>
      </c>
      <c r="G686" s="4">
        <v>250</v>
      </c>
      <c r="H686" t="str">
        <f>"02-0217-3"</f>
        <v>02-0217-3</v>
      </c>
    </row>
    <row r="687" spans="1:8" x14ac:dyDescent="0.25">
      <c r="E687" t="str">
        <f>"202112067675"</f>
        <v>202112067675</v>
      </c>
      <c r="F687" t="str">
        <f>"21-21006  21-21007"</f>
        <v>21-21006  21-21007</v>
      </c>
      <c r="G687" s="4">
        <v>200</v>
      </c>
      <c r="H687" t="str">
        <f>"21-21006  21-21007"</f>
        <v>21-21006  21-21007</v>
      </c>
    </row>
    <row r="688" spans="1:8" x14ac:dyDescent="0.25">
      <c r="E688" t="str">
        <f>"202112067676"</f>
        <v>202112067676</v>
      </c>
      <c r="F688" t="str">
        <f>"21-21026"</f>
        <v>21-21026</v>
      </c>
      <c r="G688" s="4">
        <v>100</v>
      </c>
      <c r="H688" t="str">
        <f>"21-21026"</f>
        <v>21-21026</v>
      </c>
    </row>
    <row r="689" spans="1:8" x14ac:dyDescent="0.25">
      <c r="E689" t="str">
        <f>"202112067677"</f>
        <v>202112067677</v>
      </c>
      <c r="F689" t="str">
        <f>"21-21009"</f>
        <v>21-21009</v>
      </c>
      <c r="G689" s="4">
        <v>100</v>
      </c>
      <c r="H689" t="str">
        <f>"21-21009"</f>
        <v>21-21009</v>
      </c>
    </row>
    <row r="690" spans="1:8" x14ac:dyDescent="0.25">
      <c r="A690" t="s">
        <v>204</v>
      </c>
      <c r="B690">
        <v>5598</v>
      </c>
      <c r="C690" s="4">
        <v>3200</v>
      </c>
      <c r="D690" s="1">
        <v>44558</v>
      </c>
      <c r="E690" t="str">
        <f>"202112167821"</f>
        <v>202112167821</v>
      </c>
      <c r="F690" t="str">
        <f>"310072019F"</f>
        <v>310072019F</v>
      </c>
      <c r="G690" s="4">
        <v>250</v>
      </c>
      <c r="H690" t="str">
        <f>"310072019F"</f>
        <v>310072019F</v>
      </c>
    </row>
    <row r="691" spans="1:8" x14ac:dyDescent="0.25">
      <c r="E691" t="str">
        <f>"202112167822"</f>
        <v>202112167822</v>
      </c>
      <c r="F691" t="str">
        <f>"JP110232091D"</f>
        <v>JP110232091D</v>
      </c>
      <c r="G691" s="4">
        <v>250</v>
      </c>
      <c r="H691" t="str">
        <f>"JP110232091D"</f>
        <v>JP110232091D</v>
      </c>
    </row>
    <row r="692" spans="1:8" x14ac:dyDescent="0.25">
      <c r="E692" t="str">
        <f>"202112167835"</f>
        <v>202112167835</v>
      </c>
      <c r="F692" t="str">
        <f>"1958-21"</f>
        <v>1958-21</v>
      </c>
      <c r="G692" s="4">
        <v>100</v>
      </c>
      <c r="H692" t="str">
        <f>"1958-21"</f>
        <v>1958-21</v>
      </c>
    </row>
    <row r="693" spans="1:8" x14ac:dyDescent="0.25">
      <c r="E693" t="str">
        <f>"202112167836"</f>
        <v>202112167836</v>
      </c>
      <c r="F693" t="str">
        <f>"4022520.3"</f>
        <v>4022520.3</v>
      </c>
      <c r="G693" s="4">
        <v>600</v>
      </c>
      <c r="H693" t="str">
        <f>"4022520.3"</f>
        <v>4022520.3</v>
      </c>
    </row>
    <row r="694" spans="1:8" x14ac:dyDescent="0.25">
      <c r="E694" t="str">
        <f>"202112167837"</f>
        <v>202112167837</v>
      </c>
      <c r="F694" t="str">
        <f>"17072 BC20190617C"</f>
        <v>17072 BC20190617C</v>
      </c>
      <c r="G694" s="4">
        <v>800</v>
      </c>
      <c r="H694" t="str">
        <f>"17072 BC20190617C"</f>
        <v>17072 BC20190617C</v>
      </c>
    </row>
    <row r="695" spans="1:8" x14ac:dyDescent="0.25">
      <c r="E695" t="str">
        <f>"202112167838"</f>
        <v>202112167838</v>
      </c>
      <c r="F695" t="str">
        <f>"17170-17171"</f>
        <v>17170-17171</v>
      </c>
      <c r="G695" s="4">
        <v>800</v>
      </c>
      <c r="H695" t="str">
        <f>"17170-17171"</f>
        <v>17170-17171</v>
      </c>
    </row>
    <row r="696" spans="1:8" x14ac:dyDescent="0.25">
      <c r="E696" t="str">
        <f>"202112167839"</f>
        <v>202112167839</v>
      </c>
      <c r="F696" t="str">
        <f>"17469"</f>
        <v>17469</v>
      </c>
      <c r="G696" s="4">
        <v>400</v>
      </c>
      <c r="H696" t="str">
        <f>"17469"</f>
        <v>17469</v>
      </c>
    </row>
    <row r="697" spans="1:8" x14ac:dyDescent="0.25">
      <c r="A697" t="s">
        <v>205</v>
      </c>
      <c r="B697">
        <v>138247</v>
      </c>
      <c r="C697" s="4">
        <v>220</v>
      </c>
      <c r="D697" s="1">
        <v>44543</v>
      </c>
      <c r="E697" t="str">
        <f>"202111297438"</f>
        <v>202111297438</v>
      </c>
      <c r="F697" t="str">
        <f>"FERAL HOGS"</f>
        <v>FERAL HOGS</v>
      </c>
      <c r="G697" s="4">
        <v>220</v>
      </c>
      <c r="H697" t="str">
        <f>"FERAL HOGS"</f>
        <v>FERAL HOGS</v>
      </c>
    </row>
    <row r="698" spans="1:8" x14ac:dyDescent="0.25">
      <c r="A698" t="s">
        <v>206</v>
      </c>
      <c r="B698">
        <v>138248</v>
      </c>
      <c r="C698" s="4">
        <v>200</v>
      </c>
      <c r="D698" s="1">
        <v>44543</v>
      </c>
      <c r="E698" t="str">
        <f>"202111297437"</f>
        <v>202111297437</v>
      </c>
      <c r="F698" t="str">
        <f>"FERAL HOGS"</f>
        <v>FERAL HOGS</v>
      </c>
      <c r="G698" s="4">
        <v>200</v>
      </c>
      <c r="H698" t="str">
        <f>"FERAL HOGS"</f>
        <v>FERAL HOGS</v>
      </c>
    </row>
    <row r="699" spans="1:8" x14ac:dyDescent="0.25">
      <c r="A699" t="s">
        <v>207</v>
      </c>
      <c r="B699">
        <v>5530</v>
      </c>
      <c r="C699" s="4">
        <v>2717</v>
      </c>
      <c r="D699" s="1">
        <v>44544</v>
      </c>
      <c r="E699" t="str">
        <f>"491"</f>
        <v>491</v>
      </c>
      <c r="F699" t="str">
        <f>"TOWER RENT"</f>
        <v>TOWER RENT</v>
      </c>
      <c r="G699" s="4">
        <v>2717</v>
      </c>
      <c r="H699" t="str">
        <f>"TOWER RENT"</f>
        <v>TOWER RENT</v>
      </c>
    </row>
    <row r="700" spans="1:8" x14ac:dyDescent="0.25">
      <c r="A700" t="s">
        <v>208</v>
      </c>
      <c r="B700">
        <v>5497</v>
      </c>
      <c r="C700" s="4">
        <v>2245</v>
      </c>
      <c r="D700" s="1">
        <v>44544</v>
      </c>
      <c r="E700" t="str">
        <f>"284232"</f>
        <v>284232</v>
      </c>
      <c r="F700" t="str">
        <f>"INV 284232"</f>
        <v>INV 284232</v>
      </c>
      <c r="G700" s="4">
        <v>2245</v>
      </c>
      <c r="H700" t="str">
        <f>"INV 284232"</f>
        <v>INV 284232</v>
      </c>
    </row>
    <row r="701" spans="1:8" x14ac:dyDescent="0.25">
      <c r="A701" t="s">
        <v>209</v>
      </c>
      <c r="B701">
        <v>138249</v>
      </c>
      <c r="C701" s="4">
        <v>100</v>
      </c>
      <c r="D701" s="1">
        <v>44543</v>
      </c>
      <c r="E701" t="str">
        <f>"202112027647"</f>
        <v>202112027647</v>
      </c>
      <c r="F701" t="str">
        <f>"PER DIEM"</f>
        <v>PER DIEM</v>
      </c>
      <c r="G701" s="4">
        <v>100</v>
      </c>
      <c r="H701" t="str">
        <f>"PER DIEM"</f>
        <v>PER DIEM</v>
      </c>
    </row>
    <row r="702" spans="1:8" x14ac:dyDescent="0.25">
      <c r="A702" t="s">
        <v>210</v>
      </c>
      <c r="B702">
        <v>138250</v>
      </c>
      <c r="C702" s="4">
        <v>40</v>
      </c>
      <c r="D702" s="1">
        <v>44543</v>
      </c>
      <c r="E702" t="str">
        <f>"202111297436"</f>
        <v>202111297436</v>
      </c>
      <c r="F702" t="str">
        <f>"FERAL HOGS"</f>
        <v>FERAL HOGS</v>
      </c>
      <c r="G702" s="4">
        <v>40</v>
      </c>
      <c r="H702" t="str">
        <f>"FERAL HOGS"</f>
        <v>FERAL HOGS</v>
      </c>
    </row>
    <row r="703" spans="1:8" x14ac:dyDescent="0.25">
      <c r="A703" t="s">
        <v>211</v>
      </c>
      <c r="B703">
        <v>138251</v>
      </c>
      <c r="C703" s="4">
        <v>10</v>
      </c>
      <c r="D703" s="1">
        <v>44543</v>
      </c>
      <c r="E703" t="str">
        <f>"202111297435"</f>
        <v>202111297435</v>
      </c>
      <c r="F703" t="str">
        <f>"FERAL HOGS"</f>
        <v>FERAL HOGS</v>
      </c>
      <c r="G703" s="4">
        <v>10</v>
      </c>
      <c r="H703" t="str">
        <f>"FERAL HOGS"</f>
        <v>FERAL HOGS</v>
      </c>
    </row>
    <row r="704" spans="1:8" x14ac:dyDescent="0.25">
      <c r="A704" t="s">
        <v>212</v>
      </c>
      <c r="B704">
        <v>138252</v>
      </c>
      <c r="C704" s="4">
        <v>140</v>
      </c>
      <c r="D704" s="1">
        <v>44543</v>
      </c>
      <c r="E704" t="str">
        <f>"00252"</f>
        <v>00252</v>
      </c>
      <c r="F704" t="str">
        <f>"SERVICE CALL PCT#1"</f>
        <v>SERVICE CALL PCT#1</v>
      </c>
      <c r="G704" s="4">
        <v>140</v>
      </c>
      <c r="H704" t="str">
        <f>"SERVICE CALL PCT#1"</f>
        <v>SERVICE CALL PCT#1</v>
      </c>
    </row>
    <row r="705" spans="1:8" x14ac:dyDescent="0.25">
      <c r="A705" t="s">
        <v>213</v>
      </c>
      <c r="B705">
        <v>138425</v>
      </c>
      <c r="C705" s="4">
        <v>3550</v>
      </c>
      <c r="D705" s="1">
        <v>44557</v>
      </c>
      <c r="E705" t="str">
        <f>"202112177856"</f>
        <v>202112177856</v>
      </c>
      <c r="F705" t="str">
        <f>"REIMBURSEMENT-DOUBLE PAYMENT"</f>
        <v>REIMBURSEMENT-DOUBLE PAYMENT</v>
      </c>
      <c r="G705" s="4">
        <v>3550</v>
      </c>
      <c r="H705" t="str">
        <f>"REIMBURSEMENT-DOUBLE PAYMENT"</f>
        <v>REIMBURSEMENT-DOUBLE PAYMENT</v>
      </c>
    </row>
    <row r="706" spans="1:8" x14ac:dyDescent="0.25">
      <c r="A706" t="s">
        <v>214</v>
      </c>
      <c r="B706">
        <v>138253</v>
      </c>
      <c r="C706" s="4">
        <v>49999.99</v>
      </c>
      <c r="D706" s="1">
        <v>44543</v>
      </c>
      <c r="E706" t="str">
        <f>"202112027571"</f>
        <v>202112027571</v>
      </c>
      <c r="F706" t="str">
        <f>"LA GRANGE FORD"</f>
        <v>LA GRANGE FORD</v>
      </c>
      <c r="G706" s="4">
        <v>49999.99</v>
      </c>
      <c r="H706" t="str">
        <f>"2019 Ford Truck"</f>
        <v>2019 Ford Truck</v>
      </c>
    </row>
    <row r="707" spans="1:8" x14ac:dyDescent="0.25">
      <c r="A707" t="s">
        <v>215</v>
      </c>
      <c r="B707">
        <v>138254</v>
      </c>
      <c r="C707" s="4">
        <v>2352.34</v>
      </c>
      <c r="D707" s="1">
        <v>44543</v>
      </c>
      <c r="E707" t="str">
        <f>"202112067683"</f>
        <v>202112067683</v>
      </c>
      <c r="F707" t="str">
        <f>"ACCT#1645/WILDFIRE MITIGATION"</f>
        <v>ACCT#1645/WILDFIRE MITIGATION</v>
      </c>
      <c r="G707" s="4">
        <v>491.27</v>
      </c>
      <c r="H707" t="str">
        <f>"ACCT#1645/WILDFIRE MITIGATION"</f>
        <v>ACCT#1645/WILDFIRE MITIGATION</v>
      </c>
    </row>
    <row r="708" spans="1:8" x14ac:dyDescent="0.25">
      <c r="E708" t="str">
        <f>"202112067686"</f>
        <v>202112067686</v>
      </c>
      <c r="F708" t="str">
        <f>"ACCT#1800/PCT#4"</f>
        <v>ACCT#1800/PCT#4</v>
      </c>
      <c r="G708" s="4">
        <v>507.08</v>
      </c>
      <c r="H708" t="str">
        <f>"ACCT#1800/PCT#4"</f>
        <v>ACCT#1800/PCT#4</v>
      </c>
    </row>
    <row r="709" spans="1:8" x14ac:dyDescent="0.25">
      <c r="E709" t="str">
        <f>"202112087724"</f>
        <v>202112087724</v>
      </c>
      <c r="F709" t="str">
        <f>"ACCT#1650/ANIMAL SVCS"</f>
        <v>ACCT#1650/ANIMAL SVCS</v>
      </c>
      <c r="G709" s="4">
        <v>392.9</v>
      </c>
      <c r="H709" t="str">
        <f>"ACCT#1650/ANIMAL SVCS"</f>
        <v>ACCT#1650/ANIMAL SVCS</v>
      </c>
    </row>
    <row r="710" spans="1:8" x14ac:dyDescent="0.25">
      <c r="E710" t="str">
        <f>"202112087725"</f>
        <v>202112087725</v>
      </c>
      <c r="F710" t="str">
        <f>"ACCT#1650/GENERAL SVCS"</f>
        <v>ACCT#1650/GENERAL SVCS</v>
      </c>
      <c r="G710" s="4">
        <v>81.67</v>
      </c>
      <c r="H710" t="str">
        <f>"ACCT#1650/GENERAL SVCS"</f>
        <v>ACCT#1650/GENERAL SVCS</v>
      </c>
    </row>
    <row r="711" spans="1:8" x14ac:dyDescent="0.25">
      <c r="E711" t="str">
        <f>"379-187305"</f>
        <v>379-187305</v>
      </c>
      <c r="F711" t="str">
        <f>"ACCT#1650 PCT#1"</f>
        <v>ACCT#1650 PCT#1</v>
      </c>
      <c r="G711" s="4">
        <v>741.83</v>
      </c>
      <c r="H711" t="str">
        <f>"ACCT#1650 PCT#1"</f>
        <v>ACCT#1650 PCT#1</v>
      </c>
    </row>
    <row r="712" spans="1:8" x14ac:dyDescent="0.25">
      <c r="E712" t="str">
        <f>"379-189840"</f>
        <v>379-189840</v>
      </c>
      <c r="F712" t="str">
        <f>"ACCT#1750"</f>
        <v>ACCT#1750</v>
      </c>
      <c r="G712" s="4">
        <v>137.59</v>
      </c>
      <c r="H712" t="str">
        <f>"ACCT#1750"</f>
        <v>ACCT#1750</v>
      </c>
    </row>
    <row r="713" spans="1:8" x14ac:dyDescent="0.25">
      <c r="A713" t="s">
        <v>216</v>
      </c>
      <c r="B713">
        <v>5482</v>
      </c>
      <c r="C713" s="4">
        <v>3151.35</v>
      </c>
      <c r="D713" s="1">
        <v>44544</v>
      </c>
      <c r="E713" t="str">
        <f>"11177368"</f>
        <v>11177368</v>
      </c>
      <c r="F713" t="str">
        <f>"INV 11177368  11230661  1"</f>
        <v>INV 11177368  11230661  1</v>
      </c>
      <c r="G713" s="4">
        <v>1279.67</v>
      </c>
      <c r="H713" t="str">
        <f>"INV 11177368"</f>
        <v>INV 11177368</v>
      </c>
    </row>
    <row r="714" spans="1:8" x14ac:dyDescent="0.25">
      <c r="E714" t="str">
        <f>""</f>
        <v/>
      </c>
      <c r="F714" t="str">
        <f>""</f>
        <v/>
      </c>
      <c r="G714" s="4">
        <v>913.97</v>
      </c>
      <c r="H714" t="str">
        <f>"INV 11230661"</f>
        <v>INV 11230661</v>
      </c>
    </row>
    <row r="715" spans="1:8" x14ac:dyDescent="0.25">
      <c r="E715" t="str">
        <f>""</f>
        <v/>
      </c>
      <c r="F715" t="str">
        <f>""</f>
        <v/>
      </c>
      <c r="G715" s="4">
        <v>957.71</v>
      </c>
      <c r="H715" t="str">
        <f>"INV12010149"</f>
        <v>INV12010149</v>
      </c>
    </row>
    <row r="716" spans="1:8" x14ac:dyDescent="0.25">
      <c r="A716" t="s">
        <v>216</v>
      </c>
      <c r="B716">
        <v>5561</v>
      </c>
      <c r="C716" s="4">
        <v>989.15</v>
      </c>
      <c r="D716" s="1">
        <v>44558</v>
      </c>
      <c r="E716" t="str">
        <f>"12082237"</f>
        <v>12082237</v>
      </c>
      <c r="F716" t="str">
        <f>"INV 12082237"</f>
        <v>INV 12082237</v>
      </c>
      <c r="G716" s="4">
        <v>989.15</v>
      </c>
      <c r="H716" t="str">
        <f>"INV 12082237"</f>
        <v>INV 12082237</v>
      </c>
    </row>
    <row r="717" spans="1:8" x14ac:dyDescent="0.25">
      <c r="A717" t="s">
        <v>217</v>
      </c>
      <c r="B717">
        <v>138426</v>
      </c>
      <c r="C717" s="4">
        <v>6066.7</v>
      </c>
      <c r="D717" s="1">
        <v>44557</v>
      </c>
      <c r="E717" t="str">
        <f>"323956"</f>
        <v>323956</v>
      </c>
      <c r="F717" t="str">
        <f>"LeadsOnline PO Redo"</f>
        <v>LeadsOnline PO Redo</v>
      </c>
      <c r="G717" s="4">
        <v>2022.23</v>
      </c>
      <c r="H717" t="str">
        <f>"Invoice#323956"</f>
        <v>Invoice#323956</v>
      </c>
    </row>
    <row r="718" spans="1:8" x14ac:dyDescent="0.25">
      <c r="E718" t="str">
        <f>""</f>
        <v/>
      </c>
      <c r="F718" t="str">
        <f>""</f>
        <v/>
      </c>
      <c r="G718" s="4">
        <v>4044.47</v>
      </c>
      <c r="H718" t="str">
        <f>"Invoice#323956"</f>
        <v>Invoice#323956</v>
      </c>
    </row>
    <row r="719" spans="1:8" x14ac:dyDescent="0.25">
      <c r="A719" t="s">
        <v>218</v>
      </c>
      <c r="B719">
        <v>138427</v>
      </c>
      <c r="C719" s="4">
        <v>75</v>
      </c>
      <c r="D719" s="1">
        <v>44557</v>
      </c>
      <c r="E719" t="str">
        <f>"13412"</f>
        <v>13412</v>
      </c>
      <c r="F719" t="str">
        <f>"SERVICE"</f>
        <v>SERVICE</v>
      </c>
      <c r="G719" s="4">
        <v>75</v>
      </c>
      <c r="H719" t="str">
        <f>"SERVICE"</f>
        <v>SERVICE</v>
      </c>
    </row>
    <row r="720" spans="1:8" x14ac:dyDescent="0.25">
      <c r="A720" t="s">
        <v>219</v>
      </c>
      <c r="B720">
        <v>138149</v>
      </c>
      <c r="C720" s="4">
        <v>69.81</v>
      </c>
      <c r="D720" s="1">
        <v>44531</v>
      </c>
      <c r="E720" t="str">
        <f>"202112017505"</f>
        <v>202112017505</v>
      </c>
      <c r="F720" t="str">
        <f>"ACCT#1-09-00072-02 1/11232021"</f>
        <v>ACCT#1-09-00072-02 1/11232021</v>
      </c>
      <c r="G720" s="4">
        <v>69.81</v>
      </c>
      <c r="H720" t="str">
        <f>"ACCT#1-09-00072-02 1/11232021"</f>
        <v>ACCT#1-09-00072-02 1/11232021</v>
      </c>
    </row>
    <row r="721" spans="1:8" x14ac:dyDescent="0.25">
      <c r="A721" t="s">
        <v>219</v>
      </c>
      <c r="B721">
        <v>138510</v>
      </c>
      <c r="C721" s="4">
        <v>171.16</v>
      </c>
      <c r="D721" s="1">
        <v>44559</v>
      </c>
      <c r="E721" t="str">
        <f>"202112297984"</f>
        <v>202112297984</v>
      </c>
      <c r="F721" t="str">
        <f>"ACCT#1-09-00072-02 1/12212021"</f>
        <v>ACCT#1-09-00072-02 1/12212021</v>
      </c>
      <c r="G721" s="4">
        <v>171.16</v>
      </c>
      <c r="H721" t="str">
        <f>"ACCT#1-09-00072-02 1/12212021"</f>
        <v>ACCT#1-09-00072-02 1/12212021</v>
      </c>
    </row>
    <row r="722" spans="1:8" x14ac:dyDescent="0.25">
      <c r="A722" t="s">
        <v>220</v>
      </c>
      <c r="B722">
        <v>138255</v>
      </c>
      <c r="C722" s="4">
        <v>2271</v>
      </c>
      <c r="D722" s="1">
        <v>44543</v>
      </c>
      <c r="E722" t="str">
        <f>"0563305967"</f>
        <v>0563305967</v>
      </c>
      <c r="F722" t="str">
        <f>"INV 0563305967"</f>
        <v>INV 0563305967</v>
      </c>
      <c r="G722" s="4">
        <v>2271</v>
      </c>
      <c r="H722" t="str">
        <f>"INV 0563305967"</f>
        <v>INV 0563305967</v>
      </c>
    </row>
    <row r="723" spans="1:8" x14ac:dyDescent="0.25">
      <c r="A723" t="s">
        <v>221</v>
      </c>
      <c r="B723">
        <v>138256</v>
      </c>
      <c r="C723" s="4">
        <v>600.51</v>
      </c>
      <c r="D723" s="1">
        <v>44543</v>
      </c>
      <c r="E723" t="str">
        <f>"1211621-20211130"</f>
        <v>1211621-20211130</v>
      </c>
      <c r="F723" t="str">
        <f>"BILL ID:1211621/HEALTH SVCS"</f>
        <v>BILL ID:1211621/HEALTH SVCS</v>
      </c>
      <c r="G723" s="4">
        <v>76.95</v>
      </c>
      <c r="H723" t="str">
        <f>"BILL ID:1211621/HEALTH SVCS"</f>
        <v>BILL ID:1211621/HEALTH SVCS</v>
      </c>
    </row>
    <row r="724" spans="1:8" x14ac:dyDescent="0.25">
      <c r="E724" t="str">
        <f>"1361725-20211130"</f>
        <v>1361725-20211130</v>
      </c>
      <c r="F724" t="str">
        <f>"BILL ID:1361725/INDIGENT HLTH"</f>
        <v>BILL ID:1361725/INDIGENT HLTH</v>
      </c>
      <c r="G724" s="4">
        <v>150</v>
      </c>
      <c r="H724" t="str">
        <f>"BILL ID:1361725/INDIGENT HLTH"</f>
        <v>BILL ID:1361725/INDIGENT HLTH</v>
      </c>
    </row>
    <row r="725" spans="1:8" x14ac:dyDescent="0.25">
      <c r="E725" t="str">
        <f>"1394645-20211031"</f>
        <v>1394645-20211031</v>
      </c>
      <c r="F725" t="str">
        <f>"BILL ID:1394645 - COUNTY CLERK"</f>
        <v>BILL ID:1394645 - COUNTY CLERK</v>
      </c>
      <c r="G725" s="4">
        <v>50</v>
      </c>
      <c r="H725" t="str">
        <f>"BILL ID:1394645 - COUNTY CLERK"</f>
        <v>BILL ID:1394645 - COUNTY CLERK</v>
      </c>
    </row>
    <row r="726" spans="1:8" x14ac:dyDescent="0.25">
      <c r="E726" t="str">
        <f>"1420944-20211130"</f>
        <v>1420944-20211130</v>
      </c>
      <c r="F726" t="str">
        <f>"BILL ID:1420944/SHERIFF'S OFF"</f>
        <v>BILL ID:1420944/SHERIFF'S OFF</v>
      </c>
      <c r="G726" s="4">
        <v>273.56</v>
      </c>
      <c r="H726" t="str">
        <f>"BILL ID:1420944/SHERIFF'S OFF"</f>
        <v>BILL ID:1420944/SHERIFF'S OFF</v>
      </c>
    </row>
    <row r="727" spans="1:8" x14ac:dyDescent="0.25">
      <c r="E727" t="str">
        <f>"1489870-20211130"</f>
        <v>1489870-20211130</v>
      </c>
      <c r="F727" t="str">
        <f>"BILL ID:1489870/DISTRICT CLERK"</f>
        <v>BILL ID:1489870/DISTRICT CLERK</v>
      </c>
      <c r="G727" s="4">
        <v>50</v>
      </c>
      <c r="H727" t="str">
        <f>"BILL ID:1489870/DISTRICT CLERK"</f>
        <v>BILL ID:1489870/DISTRICT CLERK</v>
      </c>
    </row>
    <row r="728" spans="1:8" x14ac:dyDescent="0.25">
      <c r="A728" t="s">
        <v>221</v>
      </c>
      <c r="B728">
        <v>138428</v>
      </c>
      <c r="C728" s="4">
        <v>50</v>
      </c>
      <c r="D728" s="1">
        <v>44557</v>
      </c>
      <c r="E728" t="str">
        <f>"1394645-202011130"</f>
        <v>1394645-202011130</v>
      </c>
      <c r="F728" t="str">
        <f>"BILL ID:1394645/COUNTY CLERK"</f>
        <v>BILL ID:1394645/COUNTY CLERK</v>
      </c>
      <c r="G728" s="4">
        <v>50</v>
      </c>
      <c r="H728" t="str">
        <f>"BILL ID:1394645/COUNTY CLERK"</f>
        <v>BILL ID:1394645/COUNTY CLERK</v>
      </c>
    </row>
    <row r="729" spans="1:8" x14ac:dyDescent="0.25">
      <c r="A729" t="s">
        <v>222</v>
      </c>
      <c r="B729">
        <v>138429</v>
      </c>
      <c r="C729" s="4">
        <v>107.42</v>
      </c>
      <c r="D729" s="1">
        <v>44557</v>
      </c>
      <c r="E729" t="str">
        <f>"202112207940"</f>
        <v>202112207940</v>
      </c>
      <c r="F729" t="str">
        <f>"INDIGENT HEALTH"</f>
        <v>INDIGENT HEALTH</v>
      </c>
      <c r="G729" s="4">
        <v>107.42</v>
      </c>
      <c r="H729" t="str">
        <f>"INDIGENT HEALTH"</f>
        <v>INDIGENT HEALTH</v>
      </c>
    </row>
    <row r="730" spans="1:8" x14ac:dyDescent="0.25">
      <c r="A730" t="s">
        <v>223</v>
      </c>
      <c r="B730">
        <v>5508</v>
      </c>
      <c r="C730" s="4">
        <v>936</v>
      </c>
      <c r="D730" s="1">
        <v>44544</v>
      </c>
      <c r="E730" t="str">
        <f>"202112087714"</f>
        <v>202112087714</v>
      </c>
      <c r="F730" t="str">
        <f>"TRASH REMOVAL 12/01-12/12/P4"</f>
        <v>TRASH REMOVAL 12/01-12/12/P4</v>
      </c>
      <c r="G730" s="4">
        <v>624</v>
      </c>
      <c r="H730" t="str">
        <f>"TRASH REMOVAL 12/01-12/12/P4"</f>
        <v>TRASH REMOVAL 12/01-12/12/P4</v>
      </c>
    </row>
    <row r="731" spans="1:8" x14ac:dyDescent="0.25">
      <c r="E731" t="str">
        <f>"202112087715"</f>
        <v>202112087715</v>
      </c>
      <c r="F731" t="str">
        <f>"TRASH REMOVAL 11/22-11/30/P4"</f>
        <v>TRASH REMOVAL 11/22-11/30/P4</v>
      </c>
      <c r="G731" s="4">
        <v>312</v>
      </c>
      <c r="H731" t="str">
        <f>"TRASH REMOVAL 11/22-11/30/P4"</f>
        <v>TRASH REMOVAL 11/22-11/30/P4</v>
      </c>
    </row>
    <row r="732" spans="1:8" x14ac:dyDescent="0.25">
      <c r="A732" t="s">
        <v>224</v>
      </c>
      <c r="B732">
        <v>5537</v>
      </c>
      <c r="C732" s="4">
        <v>30</v>
      </c>
      <c r="D732" s="1">
        <v>44544</v>
      </c>
      <c r="E732" t="str">
        <f>"10-0134292"</f>
        <v>10-0134292</v>
      </c>
      <c r="F732" t="str">
        <f>"INV 10-0134292"</f>
        <v>INV 10-0134292</v>
      </c>
      <c r="G732" s="4">
        <v>30</v>
      </c>
      <c r="H732" t="str">
        <f>"INV 10-0134292"</f>
        <v>INV 10-0134292</v>
      </c>
    </row>
    <row r="733" spans="1:8" x14ac:dyDescent="0.25">
      <c r="A733" t="s">
        <v>225</v>
      </c>
      <c r="B733">
        <v>138430</v>
      </c>
      <c r="C733" s="4">
        <v>939.54</v>
      </c>
      <c r="D733" s="1">
        <v>44557</v>
      </c>
      <c r="E733" t="str">
        <f>"901753 920183 9105"</f>
        <v>901753 920183 9105</v>
      </c>
      <c r="F733" t="str">
        <f>"Statement"</f>
        <v>Statement</v>
      </c>
      <c r="G733" s="4">
        <v>104.78</v>
      </c>
      <c r="H733" t="str">
        <f>"920501"</f>
        <v>920501</v>
      </c>
    </row>
    <row r="734" spans="1:8" x14ac:dyDescent="0.25">
      <c r="E734" t="str">
        <f>""</f>
        <v/>
      </c>
      <c r="F734" t="str">
        <f>""</f>
        <v/>
      </c>
      <c r="G734" s="4">
        <v>359.77</v>
      </c>
      <c r="H734" t="str">
        <f>"920183"</f>
        <v>920183</v>
      </c>
    </row>
    <row r="735" spans="1:8" x14ac:dyDescent="0.25">
      <c r="E735" t="str">
        <f>""</f>
        <v/>
      </c>
      <c r="F735" t="str">
        <f>""</f>
        <v/>
      </c>
      <c r="G735" s="4">
        <v>451.29</v>
      </c>
      <c r="H735" t="str">
        <f>"901753"</f>
        <v>901753</v>
      </c>
    </row>
    <row r="736" spans="1:8" x14ac:dyDescent="0.25">
      <c r="E736" t="str">
        <f>""</f>
        <v/>
      </c>
      <c r="F736" t="str">
        <f>""</f>
        <v/>
      </c>
      <c r="G736" s="4">
        <v>23.7</v>
      </c>
      <c r="H736" t="str">
        <f>"910522"</f>
        <v>910522</v>
      </c>
    </row>
    <row r="737" spans="1:8" x14ac:dyDescent="0.25">
      <c r="A737" t="s">
        <v>226</v>
      </c>
      <c r="B737">
        <v>138431</v>
      </c>
      <c r="C737" s="4">
        <v>7492.45</v>
      </c>
      <c r="D737" s="1">
        <v>44557</v>
      </c>
      <c r="E737" t="str">
        <f>"202112197900"</f>
        <v>202112197900</v>
      </c>
      <c r="F737" t="str">
        <f>"LYMAN PRODUCTS CORPORATION"</f>
        <v>LYMAN PRODUCTS CORPORATION</v>
      </c>
      <c r="G737" s="4">
        <v>6014.95</v>
      </c>
      <c r="H737" t="str">
        <f>"SO Budget Code"</f>
        <v>SO Budget Code</v>
      </c>
    </row>
    <row r="738" spans="1:8" x14ac:dyDescent="0.25">
      <c r="E738" t="str">
        <f>""</f>
        <v/>
      </c>
      <c r="F738" t="str">
        <f>""</f>
        <v/>
      </c>
      <c r="G738" s="4">
        <v>1477.5</v>
      </c>
      <c r="H738" t="str">
        <f>"Jail Budget"</f>
        <v>Jail Budget</v>
      </c>
    </row>
    <row r="739" spans="1:8" x14ac:dyDescent="0.25">
      <c r="A739" t="s">
        <v>227</v>
      </c>
      <c r="B739">
        <v>138257</v>
      </c>
      <c r="C739" s="4">
        <v>32.229999999999997</v>
      </c>
      <c r="D739" s="1">
        <v>44543</v>
      </c>
      <c r="E739" t="str">
        <f>"202112077697"</f>
        <v>202112077697</v>
      </c>
      <c r="F739" t="str">
        <f>"REIMBURSEMENT"</f>
        <v>REIMBURSEMENT</v>
      </c>
      <c r="G739" s="4">
        <v>32.229999999999997</v>
      </c>
      <c r="H739" t="str">
        <f>"REIMBURSEMENT"</f>
        <v>REIMBURSEMENT</v>
      </c>
    </row>
    <row r="740" spans="1:8" x14ac:dyDescent="0.25">
      <c r="A740" t="s">
        <v>228</v>
      </c>
      <c r="B740">
        <v>5498</v>
      </c>
      <c r="C740" s="4">
        <v>260.48</v>
      </c>
      <c r="D740" s="1">
        <v>44544</v>
      </c>
      <c r="E740" t="str">
        <f>"202111307483"</f>
        <v>202111307483</v>
      </c>
      <c r="F740" t="str">
        <f>"21 DISTRICT COURT 11172021"</f>
        <v>21 DISTRICT COURT 11172021</v>
      </c>
      <c r="G740" s="4">
        <v>260.48</v>
      </c>
      <c r="H740" t="str">
        <f>"21 DISTRICT COURT 11172021"</f>
        <v>21 DISTRICT COURT 11172021</v>
      </c>
    </row>
    <row r="741" spans="1:8" x14ac:dyDescent="0.25">
      <c r="A741" t="s">
        <v>228</v>
      </c>
      <c r="B741">
        <v>5571</v>
      </c>
      <c r="C741" s="4">
        <v>245.92</v>
      </c>
      <c r="D741" s="1">
        <v>44558</v>
      </c>
      <c r="E741" t="str">
        <f>"202112197911"</f>
        <v>202112197911</v>
      </c>
      <c r="F741" t="str">
        <f>"COUNTY COURT 12162021"</f>
        <v>COUNTY COURT 12162021</v>
      </c>
      <c r="G741" s="4">
        <v>245.92</v>
      </c>
      <c r="H741" t="str">
        <f>"COUNTY COURT 12162021"</f>
        <v>COUNTY COURT 12162021</v>
      </c>
    </row>
    <row r="742" spans="1:8" x14ac:dyDescent="0.25">
      <c r="A742" t="s">
        <v>229</v>
      </c>
      <c r="B742">
        <v>138432</v>
      </c>
      <c r="C742" s="4">
        <v>47.68</v>
      </c>
      <c r="D742" s="1">
        <v>44557</v>
      </c>
      <c r="E742" t="str">
        <f>"202112207941"</f>
        <v>202112207941</v>
      </c>
      <c r="F742" t="str">
        <f>"INDIGENT HEALTH"</f>
        <v>INDIGENT HEALTH</v>
      </c>
      <c r="G742" s="4">
        <v>47.68</v>
      </c>
      <c r="H742" t="str">
        <f>"INDIGENT HEALTH"</f>
        <v>INDIGENT HEALTH</v>
      </c>
    </row>
    <row r="743" spans="1:8" x14ac:dyDescent="0.25">
      <c r="A743" t="s">
        <v>230</v>
      </c>
      <c r="B743">
        <v>138433</v>
      </c>
      <c r="C743" s="4">
        <v>372.1</v>
      </c>
      <c r="D743" s="1">
        <v>44557</v>
      </c>
      <c r="E743" t="str">
        <f>"0024664323"</f>
        <v>0024664323</v>
      </c>
      <c r="F743" t="str">
        <f>"ACCT#41472 / PCT #1"</f>
        <v>ACCT#41472 / PCT #1</v>
      </c>
      <c r="G743" s="4">
        <v>32.729999999999997</v>
      </c>
      <c r="H743" t="str">
        <f>"ACCT#41472 / PCT #1"</f>
        <v>ACCT#41472 / PCT #1</v>
      </c>
    </row>
    <row r="744" spans="1:8" x14ac:dyDescent="0.25">
      <c r="E744" t="str">
        <f>"0024664385"</f>
        <v>0024664385</v>
      </c>
      <c r="F744" t="str">
        <f>"ACCT#45057/PCT#4"</f>
        <v>ACCT#45057/PCT#4</v>
      </c>
      <c r="G744" s="4">
        <v>60.73</v>
      </c>
      <c r="H744" t="str">
        <f>"ACCT#45057/PCT#4"</f>
        <v>ACCT#45057/PCT#4</v>
      </c>
    </row>
    <row r="745" spans="1:8" x14ac:dyDescent="0.25">
      <c r="E745" t="str">
        <f>"0024664427"</f>
        <v>0024664427</v>
      </c>
      <c r="F745" t="str">
        <f>"INV 0024664427"</f>
        <v>INV 0024664427</v>
      </c>
      <c r="G745" s="4">
        <v>68.64</v>
      </c>
      <c r="H745" t="str">
        <f>"INV 0024664427"</f>
        <v>INV 0024664427</v>
      </c>
    </row>
    <row r="746" spans="1:8" x14ac:dyDescent="0.25">
      <c r="E746" t="str">
        <f>"0024664705"</f>
        <v>0024664705</v>
      </c>
      <c r="F746" t="str">
        <f>"ACCT# S9549 / PCT #1"</f>
        <v>ACCT# S9549 / PCT #1</v>
      </c>
      <c r="G746" s="4">
        <v>210</v>
      </c>
      <c r="H746" t="str">
        <f>"ACCT# S9549 / PCT #1"</f>
        <v>ACCT# S9549 / PCT #1</v>
      </c>
    </row>
    <row r="747" spans="1:8" x14ac:dyDescent="0.25">
      <c r="A747" t="s">
        <v>231</v>
      </c>
      <c r="B747">
        <v>138258</v>
      </c>
      <c r="C747" s="4">
        <v>23829.84</v>
      </c>
      <c r="D747" s="1">
        <v>44543</v>
      </c>
      <c r="E747" t="str">
        <f>"11328  10/07/21"</f>
        <v>11328  10/07/21</v>
      </c>
      <c r="F747" t="str">
        <f>"ABST FEE"</f>
        <v>ABST FEE</v>
      </c>
      <c r="G747" s="4">
        <v>50</v>
      </c>
      <c r="H747" t="str">
        <f>"ABST FEE"</f>
        <v>ABST FEE</v>
      </c>
    </row>
    <row r="748" spans="1:8" x14ac:dyDescent="0.25">
      <c r="E748" t="str">
        <f>"12930"</f>
        <v>12930</v>
      </c>
      <c r="F748" t="str">
        <f>"ABST FEE  10/06/21"</f>
        <v>ABST FEE  10/06/21</v>
      </c>
      <c r="G748" s="4">
        <v>225</v>
      </c>
      <c r="H748" t="str">
        <f>"ABST FEE  10/06/21"</f>
        <v>ABST FEE  10/06/21</v>
      </c>
    </row>
    <row r="749" spans="1:8" x14ac:dyDescent="0.25">
      <c r="E749" t="str">
        <f>"13325  10/06/21"</f>
        <v>13325  10/06/21</v>
      </c>
      <c r="F749" t="str">
        <f>"ABST FEE"</f>
        <v>ABST FEE</v>
      </c>
      <c r="G749" s="4">
        <v>25</v>
      </c>
      <c r="H749" t="str">
        <f>"ABST FEE"</f>
        <v>ABST FEE</v>
      </c>
    </row>
    <row r="750" spans="1:8" x14ac:dyDescent="0.25">
      <c r="E750" t="str">
        <f>"13588  10/06/21"</f>
        <v>13588  10/06/21</v>
      </c>
      <c r="F750" t="str">
        <f>"ABST FEE"</f>
        <v>ABST FEE</v>
      </c>
      <c r="G750" s="4">
        <v>135</v>
      </c>
      <c r="H750" t="str">
        <f>"ABST FEE"</f>
        <v>ABST FEE</v>
      </c>
    </row>
    <row r="751" spans="1:8" x14ac:dyDescent="0.25">
      <c r="E751" t="str">
        <f>"13717"</f>
        <v>13717</v>
      </c>
      <c r="F751" t="str">
        <f>"ABST FEE  10/07/21"</f>
        <v>ABST FEE  10/07/21</v>
      </c>
      <c r="G751" s="4">
        <v>168.88</v>
      </c>
      <c r="H751" t="str">
        <f>"ABST FEE  10/07/21"</f>
        <v>ABST FEE  10/07/21</v>
      </c>
    </row>
    <row r="752" spans="1:8" x14ac:dyDescent="0.25">
      <c r="E752" t="str">
        <f>"202112067678"</f>
        <v>202112067678</v>
      </c>
      <c r="F752" t="str">
        <f>"COLLECTION OF DELIQ TAXES-NOV"</f>
        <v>COLLECTION OF DELIQ TAXES-NOV</v>
      </c>
      <c r="G752" s="4">
        <v>23225.96</v>
      </c>
      <c r="H752" t="str">
        <f>"COLLECTION OF DELIQ TAXES-NOV"</f>
        <v>COLLECTION OF DELIQ TAXES-NOV</v>
      </c>
    </row>
    <row r="753" spans="1:8" x14ac:dyDescent="0.25">
      <c r="A753" t="s">
        <v>231</v>
      </c>
      <c r="B753">
        <v>138434</v>
      </c>
      <c r="C753" s="4">
        <v>3850</v>
      </c>
      <c r="D753" s="1">
        <v>44557</v>
      </c>
      <c r="E753" t="str">
        <f>"12690"</f>
        <v>12690</v>
      </c>
      <c r="F753" t="str">
        <f t="shared" ref="F753:F768" si="9">"ABST FEE"</f>
        <v>ABST FEE</v>
      </c>
      <c r="G753" s="4">
        <v>225</v>
      </c>
      <c r="H753" t="str">
        <f t="shared" ref="H753:H768" si="10">"ABST FEE"</f>
        <v>ABST FEE</v>
      </c>
    </row>
    <row r="754" spans="1:8" x14ac:dyDescent="0.25">
      <c r="E754" t="str">
        <f>"13013"</f>
        <v>13013</v>
      </c>
      <c r="F754" t="str">
        <f t="shared" si="9"/>
        <v>ABST FEE</v>
      </c>
      <c r="G754" s="4">
        <v>225</v>
      </c>
      <c r="H754" t="str">
        <f t="shared" si="10"/>
        <v>ABST FEE</v>
      </c>
    </row>
    <row r="755" spans="1:8" x14ac:dyDescent="0.25">
      <c r="E755" t="str">
        <f>"13059"</f>
        <v>13059</v>
      </c>
      <c r="F755" t="str">
        <f t="shared" si="9"/>
        <v>ABST FEE</v>
      </c>
      <c r="G755" s="4">
        <v>225</v>
      </c>
      <c r="H755" t="str">
        <f t="shared" si="10"/>
        <v>ABST FEE</v>
      </c>
    </row>
    <row r="756" spans="1:8" x14ac:dyDescent="0.25">
      <c r="E756" t="str">
        <f>"13174"</f>
        <v>13174</v>
      </c>
      <c r="F756" t="str">
        <f t="shared" si="9"/>
        <v>ABST FEE</v>
      </c>
      <c r="G756" s="4">
        <v>225</v>
      </c>
      <c r="H756" t="str">
        <f t="shared" si="10"/>
        <v>ABST FEE</v>
      </c>
    </row>
    <row r="757" spans="1:8" x14ac:dyDescent="0.25">
      <c r="E757" t="str">
        <f>"13186"</f>
        <v>13186</v>
      </c>
      <c r="F757" t="str">
        <f t="shared" si="9"/>
        <v>ABST FEE</v>
      </c>
      <c r="G757" s="4">
        <v>225</v>
      </c>
      <c r="H757" t="str">
        <f t="shared" si="10"/>
        <v>ABST FEE</v>
      </c>
    </row>
    <row r="758" spans="1:8" x14ac:dyDescent="0.25">
      <c r="E758" t="str">
        <f>"13211"</f>
        <v>13211</v>
      </c>
      <c r="F758" t="str">
        <f t="shared" si="9"/>
        <v>ABST FEE</v>
      </c>
      <c r="G758" s="4">
        <v>225</v>
      </c>
      <c r="H758" t="str">
        <f t="shared" si="10"/>
        <v>ABST FEE</v>
      </c>
    </row>
    <row r="759" spans="1:8" x14ac:dyDescent="0.25">
      <c r="E759" t="str">
        <f>"13224"</f>
        <v>13224</v>
      </c>
      <c r="F759" t="str">
        <f t="shared" si="9"/>
        <v>ABST FEE</v>
      </c>
      <c r="G759" s="4">
        <v>225</v>
      </c>
      <c r="H759" t="str">
        <f t="shared" si="10"/>
        <v>ABST FEE</v>
      </c>
    </row>
    <row r="760" spans="1:8" x14ac:dyDescent="0.25">
      <c r="E760" t="str">
        <f>"13325  10/29/2021"</f>
        <v>13325  10/29/2021</v>
      </c>
      <c r="F760" t="str">
        <f t="shared" si="9"/>
        <v>ABST FEE</v>
      </c>
      <c r="G760" s="4">
        <v>25</v>
      </c>
      <c r="H760" t="str">
        <f t="shared" si="10"/>
        <v>ABST FEE</v>
      </c>
    </row>
    <row r="761" spans="1:8" x14ac:dyDescent="0.25">
      <c r="E761" t="str">
        <f>"13363"</f>
        <v>13363</v>
      </c>
      <c r="F761" t="str">
        <f t="shared" si="9"/>
        <v>ABST FEE</v>
      </c>
      <c r="G761" s="4">
        <v>225</v>
      </c>
      <c r="H761" t="str">
        <f t="shared" si="10"/>
        <v>ABST FEE</v>
      </c>
    </row>
    <row r="762" spans="1:8" x14ac:dyDescent="0.25">
      <c r="E762" t="str">
        <f>"13364"</f>
        <v>13364</v>
      </c>
      <c r="F762" t="str">
        <f t="shared" si="9"/>
        <v>ABST FEE</v>
      </c>
      <c r="G762" s="4">
        <v>225</v>
      </c>
      <c r="H762" t="str">
        <f t="shared" si="10"/>
        <v>ABST FEE</v>
      </c>
    </row>
    <row r="763" spans="1:8" x14ac:dyDescent="0.25">
      <c r="E763" t="str">
        <f>"13388"</f>
        <v>13388</v>
      </c>
      <c r="F763" t="str">
        <f t="shared" si="9"/>
        <v>ABST FEE</v>
      </c>
      <c r="G763" s="4">
        <v>225</v>
      </c>
      <c r="H763" t="str">
        <f t="shared" si="10"/>
        <v>ABST FEE</v>
      </c>
    </row>
    <row r="764" spans="1:8" x14ac:dyDescent="0.25">
      <c r="E764" t="str">
        <f>"13393"</f>
        <v>13393</v>
      </c>
      <c r="F764" t="str">
        <f t="shared" si="9"/>
        <v>ABST FEE</v>
      </c>
      <c r="G764" s="4">
        <v>225</v>
      </c>
      <c r="H764" t="str">
        <f t="shared" si="10"/>
        <v>ABST FEE</v>
      </c>
    </row>
    <row r="765" spans="1:8" x14ac:dyDescent="0.25">
      <c r="E765" t="str">
        <f>"13412"</f>
        <v>13412</v>
      </c>
      <c r="F765" t="str">
        <f t="shared" si="9"/>
        <v>ABST FEE</v>
      </c>
      <c r="G765" s="4">
        <v>225</v>
      </c>
      <c r="H765" t="str">
        <f t="shared" si="10"/>
        <v>ABST FEE</v>
      </c>
    </row>
    <row r="766" spans="1:8" x14ac:dyDescent="0.25">
      <c r="E766" t="str">
        <f>"13454"</f>
        <v>13454</v>
      </c>
      <c r="F766" t="str">
        <f t="shared" si="9"/>
        <v>ABST FEE</v>
      </c>
      <c r="G766" s="4">
        <v>225</v>
      </c>
      <c r="H766" t="str">
        <f t="shared" si="10"/>
        <v>ABST FEE</v>
      </c>
    </row>
    <row r="767" spans="1:8" x14ac:dyDescent="0.25">
      <c r="E767" t="str">
        <f>"13492"</f>
        <v>13492</v>
      </c>
      <c r="F767" t="str">
        <f t="shared" si="9"/>
        <v>ABST FEE</v>
      </c>
      <c r="G767" s="4">
        <v>225</v>
      </c>
      <c r="H767" t="str">
        <f t="shared" si="10"/>
        <v>ABST FEE</v>
      </c>
    </row>
    <row r="768" spans="1:8" x14ac:dyDescent="0.25">
      <c r="E768" t="str">
        <f>"13547"</f>
        <v>13547</v>
      </c>
      <c r="F768" t="str">
        <f t="shared" si="9"/>
        <v>ABST FEE</v>
      </c>
      <c r="G768" s="4">
        <v>225</v>
      </c>
      <c r="H768" t="str">
        <f t="shared" si="10"/>
        <v>ABST FEE</v>
      </c>
    </row>
    <row r="769" spans="1:8" x14ac:dyDescent="0.25">
      <c r="E769" t="str">
        <f>"13628"</f>
        <v>13628</v>
      </c>
      <c r="F769" t="str">
        <f>"SERVICE"</f>
        <v>SERVICE</v>
      </c>
      <c r="G769" s="4">
        <v>225</v>
      </c>
      <c r="H769" t="str">
        <f>"SERVICE"</f>
        <v>SERVICE</v>
      </c>
    </row>
    <row r="770" spans="1:8" x14ac:dyDescent="0.25">
      <c r="E770" t="str">
        <f>"13735"</f>
        <v>13735</v>
      </c>
      <c r="F770" t="str">
        <f>"ABST FEE"</f>
        <v>ABST FEE</v>
      </c>
      <c r="G770" s="4">
        <v>225</v>
      </c>
      <c r="H770" t="str">
        <f>"ABST FEE"</f>
        <v>ABST FEE</v>
      </c>
    </row>
    <row r="771" spans="1:8" x14ac:dyDescent="0.25">
      <c r="A771" t="s">
        <v>232</v>
      </c>
      <c r="B771">
        <v>138259</v>
      </c>
      <c r="C771" s="4">
        <v>357.52</v>
      </c>
      <c r="D771" s="1">
        <v>44543</v>
      </c>
      <c r="E771" t="str">
        <f>"18796579 18796724"</f>
        <v>18796579 18796724</v>
      </c>
      <c r="F771" t="str">
        <f>"INV 18796579  18796724"</f>
        <v>INV 18796579  18796724</v>
      </c>
      <c r="G771" s="4">
        <v>347.47</v>
      </c>
      <c r="H771" t="str">
        <f>"INV 18796579"</f>
        <v>INV 18796579</v>
      </c>
    </row>
    <row r="772" spans="1:8" x14ac:dyDescent="0.25">
      <c r="E772" t="str">
        <f>""</f>
        <v/>
      </c>
      <c r="F772" t="str">
        <f>""</f>
        <v/>
      </c>
      <c r="G772" s="4">
        <v>10.050000000000001</v>
      </c>
      <c r="H772" t="str">
        <f>"INV 18796724"</f>
        <v>INV 18796724</v>
      </c>
    </row>
    <row r="773" spans="1:8" x14ac:dyDescent="0.25">
      <c r="A773" t="s">
        <v>233</v>
      </c>
      <c r="B773">
        <v>138435</v>
      </c>
      <c r="C773" s="4">
        <v>135</v>
      </c>
      <c r="D773" s="1">
        <v>44557</v>
      </c>
      <c r="E773" t="str">
        <f>"202112197876"</f>
        <v>202112197876</v>
      </c>
      <c r="F773" t="str">
        <f>"PER DIEM"</f>
        <v>PER DIEM</v>
      </c>
      <c r="G773" s="4">
        <v>135</v>
      </c>
      <c r="H773" t="str">
        <f>"PER DIEM"</f>
        <v>PER DIEM</v>
      </c>
    </row>
    <row r="774" spans="1:8" x14ac:dyDescent="0.25">
      <c r="A774" t="s">
        <v>234</v>
      </c>
      <c r="B774">
        <v>138436</v>
      </c>
      <c r="C774" s="4">
        <v>1041.55</v>
      </c>
      <c r="D774" s="1">
        <v>44557</v>
      </c>
      <c r="E774" t="str">
        <f>"202112207942"</f>
        <v>202112207942</v>
      </c>
      <c r="F774" t="str">
        <f>"INDIGENT HEALTH"</f>
        <v>INDIGENT HEALTH</v>
      </c>
      <c r="G774" s="4">
        <v>1041.55</v>
      </c>
      <c r="H774" t="str">
        <f>"INDIGENT HEALTH"</f>
        <v>INDIGENT HEALTH</v>
      </c>
    </row>
    <row r="775" spans="1:8" x14ac:dyDescent="0.25">
      <c r="A775" t="s">
        <v>235</v>
      </c>
      <c r="B775">
        <v>138437</v>
      </c>
      <c r="C775" s="4">
        <v>100</v>
      </c>
      <c r="D775" s="1">
        <v>44557</v>
      </c>
      <c r="E775" t="str">
        <f>"13492"</f>
        <v>13492</v>
      </c>
      <c r="F775" t="str">
        <f>"SERVICE"</f>
        <v>SERVICE</v>
      </c>
      <c r="G775" s="4">
        <v>100</v>
      </c>
      <c r="H775" t="str">
        <f>"SERVICE"</f>
        <v>SERVICE</v>
      </c>
    </row>
    <row r="776" spans="1:8" x14ac:dyDescent="0.25">
      <c r="A776" t="s">
        <v>236</v>
      </c>
      <c r="B776">
        <v>138438</v>
      </c>
      <c r="C776" s="4">
        <v>75</v>
      </c>
      <c r="D776" s="1">
        <v>44557</v>
      </c>
      <c r="E776" t="str">
        <f>"12690"</f>
        <v>12690</v>
      </c>
      <c r="F776" t="str">
        <f>"SERVICE"</f>
        <v>SERVICE</v>
      </c>
      <c r="G776" s="4">
        <v>75</v>
      </c>
      <c r="H776" t="str">
        <f>"SERVICE"</f>
        <v>SERVICE</v>
      </c>
    </row>
    <row r="777" spans="1:8" x14ac:dyDescent="0.25">
      <c r="A777" t="s">
        <v>237</v>
      </c>
      <c r="B777">
        <v>5487</v>
      </c>
      <c r="C777" s="4">
        <v>2246.6</v>
      </c>
      <c r="D777" s="1">
        <v>44544</v>
      </c>
      <c r="E777" t="str">
        <f>"25974"</f>
        <v>25974</v>
      </c>
      <c r="F777" t="str">
        <f>"RECYCLED BASE PCT#2"</f>
        <v>RECYCLED BASE PCT#2</v>
      </c>
      <c r="G777" s="4">
        <v>242.8</v>
      </c>
      <c r="H777" t="str">
        <f>"RECYCLED BASE PCT#2"</f>
        <v>RECYCLED BASE PCT#2</v>
      </c>
    </row>
    <row r="778" spans="1:8" x14ac:dyDescent="0.25">
      <c r="E778" t="str">
        <f>"26040"</f>
        <v>26040</v>
      </c>
      <c r="F778" t="str">
        <f>"RECYCLED BASE PCT#2"</f>
        <v>RECYCLED BASE PCT#2</v>
      </c>
      <c r="G778" s="4">
        <v>888.45</v>
      </c>
      <c r="H778" t="str">
        <f>"RECYCLED BASE PCT#2"</f>
        <v>RECYCLED BASE PCT#2</v>
      </c>
    </row>
    <row r="779" spans="1:8" x14ac:dyDescent="0.25">
      <c r="E779" t="str">
        <f>"26084"</f>
        <v>26084</v>
      </c>
      <c r="F779" t="str">
        <f>"RECYCLED BASE PCT#2"</f>
        <v>RECYCLED BASE PCT#2</v>
      </c>
      <c r="G779" s="4">
        <v>1115.3499999999999</v>
      </c>
      <c r="H779" t="str">
        <f>"RECYCLED BASE PCT#2"</f>
        <v>RECYCLED BASE PCT#2</v>
      </c>
    </row>
    <row r="780" spans="1:8" x14ac:dyDescent="0.25">
      <c r="A780" t="s">
        <v>237</v>
      </c>
      <c r="B780">
        <v>5565</v>
      </c>
      <c r="C780" s="4">
        <v>406.1</v>
      </c>
      <c r="D780" s="1">
        <v>44558</v>
      </c>
      <c r="E780" t="str">
        <f>"26165"</f>
        <v>26165</v>
      </c>
      <c r="F780" t="str">
        <f>"RECYCLED BASE / PCT #2"</f>
        <v>RECYCLED BASE / PCT #2</v>
      </c>
      <c r="G780" s="4">
        <v>406.1</v>
      </c>
      <c r="H780" t="str">
        <f>"RECYCLED BASE / PCT #2"</f>
        <v>RECYCLED BASE / PCT #2</v>
      </c>
    </row>
    <row r="781" spans="1:8" x14ac:dyDescent="0.25">
      <c r="A781" t="s">
        <v>238</v>
      </c>
      <c r="B781">
        <v>138260</v>
      </c>
      <c r="C781" s="4">
        <v>95</v>
      </c>
      <c r="D781" s="1">
        <v>44543</v>
      </c>
      <c r="E781" t="str">
        <f>"202111297434"</f>
        <v>202111297434</v>
      </c>
      <c r="F781" t="str">
        <f>"FERAL HOGS"</f>
        <v>FERAL HOGS</v>
      </c>
      <c r="G781" s="4">
        <v>95</v>
      </c>
      <c r="H781" t="str">
        <f>"FERAL HOGS"</f>
        <v>FERAL HOGS</v>
      </c>
    </row>
    <row r="782" spans="1:8" x14ac:dyDescent="0.25">
      <c r="A782" t="s">
        <v>239</v>
      </c>
      <c r="B782">
        <v>138352</v>
      </c>
      <c r="C782" s="4">
        <v>40</v>
      </c>
      <c r="D782" s="1">
        <v>44544</v>
      </c>
      <c r="E782" t="str">
        <f>"202112147751"</f>
        <v>202112147751</v>
      </c>
      <c r="F782" t="str">
        <f>"Misc"</f>
        <v>Misc</v>
      </c>
      <c r="G782" s="4">
        <v>40</v>
      </c>
      <c r="H782" t="str">
        <f>"FRANCES ELIZABETH DRUCK"</f>
        <v>FRANCES ELIZABETH DRUCK</v>
      </c>
    </row>
    <row r="783" spans="1:8" x14ac:dyDescent="0.25">
      <c r="A783" t="s">
        <v>240</v>
      </c>
      <c r="B783">
        <v>138353</v>
      </c>
      <c r="C783" s="4">
        <v>40</v>
      </c>
      <c r="D783" s="1">
        <v>44544</v>
      </c>
      <c r="E783" t="str">
        <f>"202112147752"</f>
        <v>202112147752</v>
      </c>
      <c r="F783" t="str">
        <f>"Miscel"</f>
        <v>Miscel</v>
      </c>
      <c r="G783" s="4">
        <v>40</v>
      </c>
      <c r="H783" t="str">
        <f>"KIRSTEN GILLIAM GLENN"</f>
        <v>KIRSTEN GILLIAM GLENN</v>
      </c>
    </row>
    <row r="784" spans="1:8" x14ac:dyDescent="0.25">
      <c r="A784" t="s">
        <v>241</v>
      </c>
      <c r="B784">
        <v>138354</v>
      </c>
      <c r="C784" s="4">
        <v>40</v>
      </c>
      <c r="D784" s="1">
        <v>44544</v>
      </c>
      <c r="E784" t="str">
        <f>"202112147753"</f>
        <v>202112147753</v>
      </c>
      <c r="F784" t="str">
        <f>"Miscellaneou"</f>
        <v>Miscellaneou</v>
      </c>
      <c r="G784" s="4">
        <v>40</v>
      </c>
      <c r="H784" t="str">
        <f>"ELIZABETH VALLE"</f>
        <v>ELIZABETH VALLE</v>
      </c>
    </row>
    <row r="785" spans="1:8" x14ac:dyDescent="0.25">
      <c r="A785" t="s">
        <v>242</v>
      </c>
      <c r="B785">
        <v>138355</v>
      </c>
      <c r="C785" s="4">
        <v>40</v>
      </c>
      <c r="D785" s="1">
        <v>44544</v>
      </c>
      <c r="E785" t="str">
        <f>"202112147754"</f>
        <v>202112147754</v>
      </c>
      <c r="F785" t="str">
        <f>"Miscellan"</f>
        <v>Miscellan</v>
      </c>
      <c r="G785" s="4">
        <v>40</v>
      </c>
      <c r="H785" t="str">
        <f>"STARBUCK LYNN GAUL"</f>
        <v>STARBUCK LYNN GAUL</v>
      </c>
    </row>
    <row r="786" spans="1:8" x14ac:dyDescent="0.25">
      <c r="A786" t="s">
        <v>243</v>
      </c>
      <c r="B786">
        <v>138356</v>
      </c>
      <c r="C786" s="4">
        <v>40</v>
      </c>
      <c r="D786" s="1">
        <v>44544</v>
      </c>
      <c r="E786" t="str">
        <f>"202112147755"</f>
        <v>202112147755</v>
      </c>
      <c r="F786" t="str">
        <f>"Miscell"</f>
        <v>Miscell</v>
      </c>
      <c r="G786" s="4">
        <v>40</v>
      </c>
      <c r="H786" t="str">
        <f>"HEATH EDWARD FREPPON"</f>
        <v>HEATH EDWARD FREPPON</v>
      </c>
    </row>
    <row r="787" spans="1:8" x14ac:dyDescent="0.25">
      <c r="A787" t="s">
        <v>244</v>
      </c>
      <c r="B787">
        <v>138357</v>
      </c>
      <c r="C787" s="4">
        <v>40</v>
      </c>
      <c r="D787" s="1">
        <v>44544</v>
      </c>
      <c r="E787" t="str">
        <f>"202112147756"</f>
        <v>202112147756</v>
      </c>
      <c r="F787" t="str">
        <f>"Miscella"</f>
        <v>Miscella</v>
      </c>
      <c r="G787" s="4">
        <v>40</v>
      </c>
      <c r="H787" t="str">
        <f>"GLENIS JANELL MCBEE"</f>
        <v>GLENIS JANELL MCBEE</v>
      </c>
    </row>
    <row r="788" spans="1:8" x14ac:dyDescent="0.25">
      <c r="A788" t="s">
        <v>245</v>
      </c>
      <c r="B788">
        <v>138358</v>
      </c>
      <c r="C788" s="4">
        <v>40</v>
      </c>
      <c r="D788" s="1">
        <v>44544</v>
      </c>
      <c r="E788" t="str">
        <f>"202112147757"</f>
        <v>202112147757</v>
      </c>
      <c r="F788" t="str">
        <f>"Miscella"</f>
        <v>Miscella</v>
      </c>
      <c r="G788" s="4">
        <v>40</v>
      </c>
      <c r="H788" t="str">
        <f>"JEFF BELL MILLER JR"</f>
        <v>JEFF BELL MILLER JR</v>
      </c>
    </row>
    <row r="789" spans="1:8" x14ac:dyDescent="0.25">
      <c r="A789" t="s">
        <v>246</v>
      </c>
      <c r="B789">
        <v>138359</v>
      </c>
      <c r="C789" s="4">
        <v>40</v>
      </c>
      <c r="D789" s="1">
        <v>44544</v>
      </c>
      <c r="E789" t="str">
        <f>"202112147758"</f>
        <v>202112147758</v>
      </c>
      <c r="F789" t="str">
        <f>"Miscellaneou"</f>
        <v>Miscellaneou</v>
      </c>
      <c r="G789" s="4">
        <v>40</v>
      </c>
      <c r="H789" t="str">
        <f>"ROBIN RAE CORUM"</f>
        <v>ROBIN RAE CORUM</v>
      </c>
    </row>
    <row r="790" spans="1:8" x14ac:dyDescent="0.25">
      <c r="A790" t="s">
        <v>247</v>
      </c>
      <c r="B790">
        <v>138360</v>
      </c>
      <c r="C790" s="4">
        <v>40</v>
      </c>
      <c r="D790" s="1">
        <v>44544</v>
      </c>
      <c r="E790" t="str">
        <f>"202112147759"</f>
        <v>202112147759</v>
      </c>
      <c r="F790" t="str">
        <f>"Miscellane"</f>
        <v>Miscellane</v>
      </c>
      <c r="G790" s="4">
        <v>40</v>
      </c>
      <c r="H790" t="str">
        <f>"ROBIN LYNN LILLEY"</f>
        <v>ROBIN LYNN LILLEY</v>
      </c>
    </row>
    <row r="791" spans="1:8" x14ac:dyDescent="0.25">
      <c r="A791" t="s">
        <v>248</v>
      </c>
      <c r="B791">
        <v>138361</v>
      </c>
      <c r="C791" s="4">
        <v>40</v>
      </c>
      <c r="D791" s="1">
        <v>44544</v>
      </c>
      <c r="E791" t="str">
        <f>"202112147760"</f>
        <v>202112147760</v>
      </c>
      <c r="F791" t="str">
        <f>"Miscell"</f>
        <v>Miscell</v>
      </c>
      <c r="G791" s="4">
        <v>40</v>
      </c>
      <c r="H791" t="str">
        <f>"RICHARD GERARD AMAYA"</f>
        <v>RICHARD GERARD AMAYA</v>
      </c>
    </row>
    <row r="792" spans="1:8" x14ac:dyDescent="0.25">
      <c r="A792" t="s">
        <v>249</v>
      </c>
      <c r="B792">
        <v>138362</v>
      </c>
      <c r="C792" s="4">
        <v>40</v>
      </c>
      <c r="D792" s="1">
        <v>44544</v>
      </c>
      <c r="E792" t="str">
        <f>"202112147761"</f>
        <v>202112147761</v>
      </c>
      <c r="F792" t="str">
        <f>"Miscella"</f>
        <v>Miscella</v>
      </c>
      <c r="G792" s="4">
        <v>40</v>
      </c>
      <c r="H792" t="str">
        <f>"AMY MICHELLE COLTER"</f>
        <v>AMY MICHELLE COLTER</v>
      </c>
    </row>
    <row r="793" spans="1:8" x14ac:dyDescent="0.25">
      <c r="A793" t="s">
        <v>250</v>
      </c>
      <c r="B793">
        <v>138261</v>
      </c>
      <c r="C793" s="4">
        <v>35.36</v>
      </c>
      <c r="D793" s="1">
        <v>44543</v>
      </c>
      <c r="E793" t="str">
        <f>"202112077696"</f>
        <v>202112077696</v>
      </c>
      <c r="F793" t="str">
        <f>"REIMBURSEMENT"</f>
        <v>REIMBURSEMENT</v>
      </c>
      <c r="G793" s="4">
        <v>35.36</v>
      </c>
      <c r="H793" t="str">
        <f>"REIMBURSEMENT"</f>
        <v>REIMBURSEMENT</v>
      </c>
    </row>
    <row r="794" spans="1:8" x14ac:dyDescent="0.25">
      <c r="A794" t="s">
        <v>251</v>
      </c>
      <c r="B794">
        <v>138262</v>
      </c>
      <c r="C794" s="4">
        <v>588.75</v>
      </c>
      <c r="D794" s="1">
        <v>44543</v>
      </c>
      <c r="E794" t="str">
        <f>"NNTN8860A"</f>
        <v>NNTN8860A</v>
      </c>
      <c r="F794" t="str">
        <f>"APX chargers for SO"</f>
        <v>APX chargers for SO</v>
      </c>
      <c r="G794" s="4">
        <v>588.75</v>
      </c>
      <c r="H794" t="str">
        <f>"NNTN8860A"</f>
        <v>NNTN8860A</v>
      </c>
    </row>
    <row r="795" spans="1:8" x14ac:dyDescent="0.25">
      <c r="A795" t="s">
        <v>251</v>
      </c>
      <c r="B795">
        <v>138439</v>
      </c>
      <c r="C795" s="4">
        <v>25047.360000000001</v>
      </c>
      <c r="D795" s="1">
        <v>44557</v>
      </c>
      <c r="E795" t="str">
        <f>"8230345864"</f>
        <v>8230345864</v>
      </c>
      <c r="F795" t="str">
        <f>"ACCT#8230345864/DECEMBER 2021"</f>
        <v>ACCT#8230345864/DECEMBER 2021</v>
      </c>
      <c r="G795" s="4">
        <v>25047.360000000001</v>
      </c>
      <c r="H795" t="str">
        <f>"ACCT#8230345864/DECEMBER 2021"</f>
        <v>ACCT#8230345864/DECEMBER 2021</v>
      </c>
    </row>
    <row r="796" spans="1:8" x14ac:dyDescent="0.25">
      <c r="A796" t="s">
        <v>252</v>
      </c>
      <c r="B796">
        <v>138263</v>
      </c>
      <c r="C796" s="4">
        <v>85</v>
      </c>
      <c r="D796" s="1">
        <v>44543</v>
      </c>
      <c r="E796" t="str">
        <f>"202112067680"</f>
        <v>202112067680</v>
      </c>
      <c r="F796" t="str">
        <f>"VOTING MEMBER-STEVEN LONG"</f>
        <v>VOTING MEMBER-STEVEN LONG</v>
      </c>
      <c r="G796" s="4">
        <v>85</v>
      </c>
      <c r="H796" t="str">
        <f>"VOTING MEMBER-STEVEN LONG"</f>
        <v>VOTING MEMBER-STEVEN LONG</v>
      </c>
    </row>
    <row r="797" spans="1:8" x14ac:dyDescent="0.25">
      <c r="A797" t="s">
        <v>253</v>
      </c>
      <c r="B797">
        <v>138264</v>
      </c>
      <c r="C797" s="4">
        <v>30</v>
      </c>
      <c r="D797" s="1">
        <v>44543</v>
      </c>
      <c r="E797" t="str">
        <f>"202112067681"</f>
        <v>202112067681</v>
      </c>
      <c r="F797" t="str">
        <f>"REIMBURSEMENT FOR BOND STICKER"</f>
        <v>REIMBURSEMENT FOR BOND STICKER</v>
      </c>
      <c r="G797" s="4">
        <v>30</v>
      </c>
      <c r="H797" t="str">
        <f>"REIMBURSEMENT FOR BOND STICKER"</f>
        <v>REIMBURSEMENT FOR BOND STICKER</v>
      </c>
    </row>
    <row r="798" spans="1:8" x14ac:dyDescent="0.25">
      <c r="A798" t="s">
        <v>253</v>
      </c>
      <c r="B798">
        <v>138440</v>
      </c>
      <c r="C798" s="4">
        <v>15</v>
      </c>
      <c r="D798" s="1">
        <v>44557</v>
      </c>
      <c r="E798" t="str">
        <f>"202112197868"</f>
        <v>202112197868</v>
      </c>
      <c r="F798" t="str">
        <f>"REIMBURSEMENT-BAIL BOND STICKE"</f>
        <v>REIMBURSEMENT-BAIL BOND STICKE</v>
      </c>
      <c r="G798" s="4">
        <v>15</v>
      </c>
      <c r="H798" t="str">
        <f>"REIMBURSEMENT-BAIL BOND STICKE"</f>
        <v>REIMBURSEMENT-BAIL BOND STICKE</v>
      </c>
    </row>
    <row r="799" spans="1:8" x14ac:dyDescent="0.25">
      <c r="A799" t="s">
        <v>254</v>
      </c>
      <c r="B799">
        <v>5501</v>
      </c>
      <c r="C799" s="4">
        <v>42</v>
      </c>
      <c r="D799" s="1">
        <v>44544</v>
      </c>
      <c r="E799" t="str">
        <f>"PART5760459"</f>
        <v>PART5760459</v>
      </c>
      <c r="F799" t="str">
        <f>"ACCT#1006635/OEM"</f>
        <v>ACCT#1006635/OEM</v>
      </c>
      <c r="G799" s="4">
        <v>42</v>
      </c>
      <c r="H799" t="str">
        <f>"ACCT#1006635/OEM"</f>
        <v>ACCT#1006635/OEM</v>
      </c>
    </row>
    <row r="800" spans="1:8" x14ac:dyDescent="0.25">
      <c r="A800" t="s">
        <v>255</v>
      </c>
      <c r="B800">
        <v>138441</v>
      </c>
      <c r="C800" s="4">
        <v>50</v>
      </c>
      <c r="D800" s="1">
        <v>44557</v>
      </c>
      <c r="E800" t="str">
        <f>"202112197867"</f>
        <v>202112197867</v>
      </c>
      <c r="F800" t="str">
        <f>"MBSHP#2016122807/J. SWETNAM"</f>
        <v>MBSHP#2016122807/J. SWETNAM</v>
      </c>
      <c r="G800" s="4">
        <v>50</v>
      </c>
      <c r="H800" t="str">
        <f>"MBSHP#2016122807/J. SWETNAM"</f>
        <v>MBSHP#2016122807/J. SWETNAM</v>
      </c>
    </row>
    <row r="801" spans="1:8" x14ac:dyDescent="0.25">
      <c r="A801" t="s">
        <v>256</v>
      </c>
      <c r="B801">
        <v>138265</v>
      </c>
      <c r="C801" s="4">
        <v>1014.55</v>
      </c>
      <c r="D801" s="1">
        <v>44543</v>
      </c>
      <c r="E801" t="str">
        <f>"6670164370"</f>
        <v>6670164370</v>
      </c>
      <c r="F801" t="str">
        <f>"ACCT#150344157/GENERAL SVCS"</f>
        <v>ACCT#150344157/GENERAL SVCS</v>
      </c>
      <c r="G801" s="4">
        <v>1014.55</v>
      </c>
      <c r="H801" t="str">
        <f>"ACCT#150344157/GENERAL SVCS"</f>
        <v>ACCT#150344157/GENERAL SVCS</v>
      </c>
    </row>
    <row r="802" spans="1:8" x14ac:dyDescent="0.25">
      <c r="A802" t="s">
        <v>257</v>
      </c>
      <c r="B802">
        <v>138266</v>
      </c>
      <c r="C802" s="4">
        <v>320</v>
      </c>
      <c r="D802" s="1">
        <v>44543</v>
      </c>
      <c r="E802" t="str">
        <f>"202112087726"</f>
        <v>202112087726</v>
      </c>
      <c r="F802" t="str">
        <f>"RELIEF WELLNESS CLINIC SVCS"</f>
        <v>RELIEF WELLNESS CLINIC SVCS</v>
      </c>
      <c r="G802" s="4">
        <v>320</v>
      </c>
      <c r="H802" t="str">
        <f>"RELIEF WELLNESS CLINIC SVCS"</f>
        <v>RELIEF WELLNESS CLINIC SVCS</v>
      </c>
    </row>
    <row r="803" spans="1:8" x14ac:dyDescent="0.25">
      <c r="A803" t="s">
        <v>258</v>
      </c>
      <c r="B803">
        <v>5541</v>
      </c>
      <c r="C803" s="4">
        <v>1126</v>
      </c>
      <c r="D803" s="1">
        <v>44544</v>
      </c>
      <c r="E803" t="str">
        <f>"202104561"</f>
        <v>202104561</v>
      </c>
      <c r="F803" t="str">
        <f>"CUST#48021/COUNTY DUES 2022"</f>
        <v>CUST#48021/COUNTY DUES 2022</v>
      </c>
      <c r="G803" s="4">
        <v>1126</v>
      </c>
      <c r="H803" t="str">
        <f>"CUST#48021/COUNTY DUES 2022"</f>
        <v>CUST#48021/COUNTY DUES 2022</v>
      </c>
    </row>
    <row r="804" spans="1:8" x14ac:dyDescent="0.25">
      <c r="A804" t="s">
        <v>259</v>
      </c>
      <c r="B804">
        <v>5512</v>
      </c>
      <c r="C804" s="4">
        <v>435.76</v>
      </c>
      <c r="D804" s="1">
        <v>44544</v>
      </c>
      <c r="E804" t="str">
        <f>"144644"</f>
        <v>144644</v>
      </c>
      <c r="F804" t="str">
        <f>"ACCT#24367/ANIMAL SVCS"</f>
        <v>ACCT#24367/ANIMAL SVCS</v>
      </c>
      <c r="G804" s="4">
        <v>435.76</v>
      </c>
      <c r="H804" t="str">
        <f>"ACCT#24367/ANIMAL SVCS"</f>
        <v>ACCT#24367/ANIMAL SVCS</v>
      </c>
    </row>
    <row r="805" spans="1:8" x14ac:dyDescent="0.25">
      <c r="A805" t="s">
        <v>260</v>
      </c>
      <c r="B805">
        <v>5478</v>
      </c>
      <c r="C805" s="4">
        <v>13981.4</v>
      </c>
      <c r="D805" s="1">
        <v>44544</v>
      </c>
      <c r="E805" t="str">
        <f>"IN0866303"</f>
        <v>IN0866303</v>
      </c>
      <c r="F805" t="str">
        <f>"INV IN0866303"</f>
        <v>INV IN0866303</v>
      </c>
      <c r="G805" s="4">
        <v>3780</v>
      </c>
      <c r="H805" t="str">
        <f>"INV IN0866303"</f>
        <v>INV IN0866303</v>
      </c>
    </row>
    <row r="806" spans="1:8" x14ac:dyDescent="0.25">
      <c r="E806" t="str">
        <f>"IN0868116"</f>
        <v>IN0868116</v>
      </c>
      <c r="F806" t="str">
        <f>"INV IN0868116"</f>
        <v>INV IN0868116</v>
      </c>
      <c r="G806" s="4">
        <v>7572.6</v>
      </c>
      <c r="H806" t="str">
        <f>"INV IN0868116"</f>
        <v>INV IN0868116</v>
      </c>
    </row>
    <row r="807" spans="1:8" x14ac:dyDescent="0.25">
      <c r="E807" t="str">
        <f>"IN0869626"</f>
        <v>IN0869626</v>
      </c>
      <c r="F807" t="str">
        <f>"INV IN0869626"</f>
        <v>INV IN0869626</v>
      </c>
      <c r="G807" s="4">
        <v>2628.8</v>
      </c>
      <c r="H807" t="str">
        <f>"INV IN0869626"</f>
        <v>INV IN0869626</v>
      </c>
    </row>
    <row r="808" spans="1:8" x14ac:dyDescent="0.25">
      <c r="A808" t="s">
        <v>261</v>
      </c>
      <c r="B808">
        <v>138442</v>
      </c>
      <c r="C808" s="4">
        <v>3000</v>
      </c>
      <c r="D808" s="1">
        <v>44557</v>
      </c>
      <c r="E808" t="str">
        <f>"6849"</f>
        <v>6849</v>
      </c>
      <c r="F808" t="str">
        <f>"INV 6849"</f>
        <v>INV 6849</v>
      </c>
      <c r="G808" s="4">
        <v>3000</v>
      </c>
      <c r="H808" t="str">
        <f>"INV 6849"</f>
        <v>INV 6849</v>
      </c>
    </row>
    <row r="809" spans="1:8" x14ac:dyDescent="0.25">
      <c r="A809" t="s">
        <v>262</v>
      </c>
      <c r="B809">
        <v>138267</v>
      </c>
      <c r="C809" s="4">
        <v>250</v>
      </c>
      <c r="D809" s="1">
        <v>44543</v>
      </c>
      <c r="E809" t="str">
        <f>"11365"</f>
        <v>11365</v>
      </c>
      <c r="F809" t="str">
        <f>"GALA S Additional Worksta"</f>
        <v>GALA S Additional Worksta</v>
      </c>
      <c r="G809" s="4">
        <v>250</v>
      </c>
      <c r="H809" t="str">
        <f>"Part#15103"</f>
        <v>Part#15103</v>
      </c>
    </row>
    <row r="810" spans="1:8" x14ac:dyDescent="0.25">
      <c r="A810" t="s">
        <v>263</v>
      </c>
      <c r="B810">
        <v>138268</v>
      </c>
      <c r="C810" s="4">
        <v>900</v>
      </c>
      <c r="D810" s="1">
        <v>44543</v>
      </c>
      <c r="E810" t="str">
        <f>"202112077693"</f>
        <v>202112077693</v>
      </c>
      <c r="F810" t="str">
        <f>"INV - NOV 18  2021"</f>
        <v>INV - NOV 18  2021</v>
      </c>
      <c r="G810" s="4">
        <v>900</v>
      </c>
      <c r="H810" t="str">
        <f>"INV - NOV 18  2021"</f>
        <v>INV - NOV 18  2021</v>
      </c>
    </row>
    <row r="811" spans="1:8" x14ac:dyDescent="0.25">
      <c r="A811" t="s">
        <v>264</v>
      </c>
      <c r="B811">
        <v>138443</v>
      </c>
      <c r="C811" s="4">
        <v>150</v>
      </c>
      <c r="D811" s="1">
        <v>44557</v>
      </c>
      <c r="E811" t="str">
        <f>"13412"</f>
        <v>13412</v>
      </c>
      <c r="F811" t="str">
        <f>"SERVICE"</f>
        <v>SERVICE</v>
      </c>
      <c r="G811" s="4">
        <v>150</v>
      </c>
      <c r="H811" t="str">
        <f>"SERVICE"</f>
        <v>SERVICE</v>
      </c>
    </row>
    <row r="812" spans="1:8" x14ac:dyDescent="0.25">
      <c r="A812" t="s">
        <v>265</v>
      </c>
      <c r="B812">
        <v>138444</v>
      </c>
      <c r="C812" s="4">
        <v>150</v>
      </c>
      <c r="D812" s="1">
        <v>44557</v>
      </c>
      <c r="E812" t="str">
        <f>"13735"</f>
        <v>13735</v>
      </c>
      <c r="F812" t="str">
        <f>"SERVICE"</f>
        <v>SERVICE</v>
      </c>
      <c r="G812" s="4">
        <v>150</v>
      </c>
      <c r="H812" t="str">
        <f>"SERVICE"</f>
        <v>SERVICE</v>
      </c>
    </row>
    <row r="813" spans="1:8" x14ac:dyDescent="0.25">
      <c r="A813" t="s">
        <v>266</v>
      </c>
      <c r="B813">
        <v>5546</v>
      </c>
      <c r="C813" s="4">
        <v>25.64</v>
      </c>
      <c r="D813" s="1">
        <v>44544</v>
      </c>
      <c r="E813" t="str">
        <f>"0581-345343"</f>
        <v>0581-345343</v>
      </c>
      <c r="F813" t="str">
        <f>"INV 0581-345343"</f>
        <v>INV 0581-345343</v>
      </c>
      <c r="G813" s="4">
        <v>25.64</v>
      </c>
      <c r="H813" t="str">
        <f>"INV 0581-345343"</f>
        <v>INV 0581-345343</v>
      </c>
    </row>
    <row r="814" spans="1:8" x14ac:dyDescent="0.25">
      <c r="A814" t="s">
        <v>267</v>
      </c>
      <c r="B814">
        <v>138269</v>
      </c>
      <c r="C814" s="4">
        <v>2432.11</v>
      </c>
      <c r="D814" s="1">
        <v>44543</v>
      </c>
      <c r="E814" t="str">
        <f>"20235365"</f>
        <v>20235365</v>
      </c>
      <c r="F814" t="str">
        <f>"Office Depot"</f>
        <v>Office Depot</v>
      </c>
      <c r="G814" s="4">
        <v>23.95</v>
      </c>
      <c r="H814" t="str">
        <f>"203052765001"</f>
        <v>203052765001</v>
      </c>
    </row>
    <row r="815" spans="1:8" x14ac:dyDescent="0.25">
      <c r="E815" t="str">
        <f>""</f>
        <v/>
      </c>
      <c r="F815" t="str">
        <f>""</f>
        <v/>
      </c>
      <c r="G815" s="4">
        <v>64.489999999999995</v>
      </c>
      <c r="H815" t="str">
        <f>"203052765002"</f>
        <v>203052765002</v>
      </c>
    </row>
    <row r="816" spans="1:8" x14ac:dyDescent="0.25">
      <c r="E816" t="str">
        <f>""</f>
        <v/>
      </c>
      <c r="F816" t="str">
        <f>""</f>
        <v/>
      </c>
      <c r="G816" s="4">
        <v>84.6</v>
      </c>
      <c r="H816" t="str">
        <f>"209922148001"</f>
        <v>209922148001</v>
      </c>
    </row>
    <row r="817" spans="5:8" x14ac:dyDescent="0.25">
      <c r="E817" t="str">
        <f>""</f>
        <v/>
      </c>
      <c r="F817" t="str">
        <f>""</f>
        <v/>
      </c>
      <c r="G817" s="4">
        <v>462.83</v>
      </c>
      <c r="H817" t="str">
        <f>"208266029001"</f>
        <v>208266029001</v>
      </c>
    </row>
    <row r="818" spans="5:8" x14ac:dyDescent="0.25">
      <c r="E818" t="str">
        <f>""</f>
        <v/>
      </c>
      <c r="F818" t="str">
        <f>""</f>
        <v/>
      </c>
      <c r="G818" s="4">
        <v>34.979999999999997</v>
      </c>
      <c r="H818" t="str">
        <f>"208267808001"</f>
        <v>208267808001</v>
      </c>
    </row>
    <row r="819" spans="5:8" x14ac:dyDescent="0.25">
      <c r="E819" t="str">
        <f>""</f>
        <v/>
      </c>
      <c r="F819" t="str">
        <f>""</f>
        <v/>
      </c>
      <c r="G819" s="4">
        <v>257.76</v>
      </c>
      <c r="H819" t="str">
        <f>"208267810001"</f>
        <v>208267810001</v>
      </c>
    </row>
    <row r="820" spans="5:8" x14ac:dyDescent="0.25">
      <c r="E820" t="str">
        <f>""</f>
        <v/>
      </c>
      <c r="F820" t="str">
        <f>""</f>
        <v/>
      </c>
      <c r="G820" s="4">
        <v>16.98</v>
      </c>
      <c r="H820" t="str">
        <f>"204940418001"</f>
        <v>204940418001</v>
      </c>
    </row>
    <row r="821" spans="5:8" x14ac:dyDescent="0.25">
      <c r="E821" t="str">
        <f>""</f>
        <v/>
      </c>
      <c r="F821" t="str">
        <f>""</f>
        <v/>
      </c>
      <c r="G821" s="4">
        <v>47.08</v>
      </c>
      <c r="H821" t="str">
        <f>"204940418002"</f>
        <v>204940418002</v>
      </c>
    </row>
    <row r="822" spans="5:8" x14ac:dyDescent="0.25">
      <c r="E822" t="str">
        <f>""</f>
        <v/>
      </c>
      <c r="F822" t="str">
        <f>""</f>
        <v/>
      </c>
      <c r="G822" s="4">
        <v>181.28</v>
      </c>
      <c r="H822" t="str">
        <f>"210055797001"</f>
        <v>210055797001</v>
      </c>
    </row>
    <row r="823" spans="5:8" x14ac:dyDescent="0.25">
      <c r="E823" t="str">
        <f>""</f>
        <v/>
      </c>
      <c r="F823" t="str">
        <f>""</f>
        <v/>
      </c>
      <c r="G823" s="4">
        <v>4.1500000000000004</v>
      </c>
      <c r="H823" t="str">
        <f>"210066125001"</f>
        <v>210066125001</v>
      </c>
    </row>
    <row r="824" spans="5:8" x14ac:dyDescent="0.25">
      <c r="E824" t="str">
        <f>""</f>
        <v/>
      </c>
      <c r="F824" t="str">
        <f>""</f>
        <v/>
      </c>
      <c r="G824" s="4">
        <v>37.79</v>
      </c>
      <c r="H824" t="str">
        <f>"210066126001"</f>
        <v>210066126001</v>
      </c>
    </row>
    <row r="825" spans="5:8" x14ac:dyDescent="0.25">
      <c r="E825" t="str">
        <f>""</f>
        <v/>
      </c>
      <c r="F825" t="str">
        <f>""</f>
        <v/>
      </c>
      <c r="G825" s="4">
        <v>24.79</v>
      </c>
      <c r="H825" t="str">
        <f>"210066127001"</f>
        <v>210066127001</v>
      </c>
    </row>
    <row r="826" spans="5:8" x14ac:dyDescent="0.25">
      <c r="E826" t="str">
        <f>""</f>
        <v/>
      </c>
      <c r="F826" t="str">
        <f>""</f>
        <v/>
      </c>
      <c r="G826" s="4">
        <v>53.62</v>
      </c>
      <c r="H826" t="str">
        <f>"210066128001"</f>
        <v>210066128001</v>
      </c>
    </row>
    <row r="827" spans="5:8" x14ac:dyDescent="0.25">
      <c r="E827" t="str">
        <f>""</f>
        <v/>
      </c>
      <c r="F827" t="str">
        <f>""</f>
        <v/>
      </c>
      <c r="G827" s="4">
        <v>94.86</v>
      </c>
      <c r="H827" t="str">
        <f>"208498468001"</f>
        <v>208498468001</v>
      </c>
    </row>
    <row r="828" spans="5:8" x14ac:dyDescent="0.25">
      <c r="E828" t="str">
        <f>""</f>
        <v/>
      </c>
      <c r="F828" t="str">
        <f>""</f>
        <v/>
      </c>
      <c r="G828" s="4">
        <v>125.03</v>
      </c>
      <c r="H828" t="str">
        <f>"207672527001"</f>
        <v>207672527001</v>
      </c>
    </row>
    <row r="829" spans="5:8" x14ac:dyDescent="0.25">
      <c r="E829" t="str">
        <f>""</f>
        <v/>
      </c>
      <c r="F829" t="str">
        <f>""</f>
        <v/>
      </c>
      <c r="G829" s="4">
        <v>11.99</v>
      </c>
      <c r="H829" t="str">
        <f>"207728957001"</f>
        <v>207728957001</v>
      </c>
    </row>
    <row r="830" spans="5:8" x14ac:dyDescent="0.25">
      <c r="E830" t="str">
        <f>""</f>
        <v/>
      </c>
      <c r="F830" t="str">
        <f>""</f>
        <v/>
      </c>
      <c r="G830" s="4">
        <v>14.99</v>
      </c>
      <c r="H830" t="str">
        <f>"207728984001"</f>
        <v>207728984001</v>
      </c>
    </row>
    <row r="831" spans="5:8" x14ac:dyDescent="0.25">
      <c r="E831" t="str">
        <f>""</f>
        <v/>
      </c>
      <c r="F831" t="str">
        <f>""</f>
        <v/>
      </c>
      <c r="G831" s="4">
        <v>517.77</v>
      </c>
      <c r="H831" t="str">
        <f>"208011854001"</f>
        <v>208011854001</v>
      </c>
    </row>
    <row r="832" spans="5:8" x14ac:dyDescent="0.25">
      <c r="E832" t="str">
        <f>""</f>
        <v/>
      </c>
      <c r="F832" t="str">
        <f>""</f>
        <v/>
      </c>
      <c r="G832" s="4">
        <v>145.18</v>
      </c>
      <c r="H832" t="str">
        <f>"208907470001"</f>
        <v>208907470001</v>
      </c>
    </row>
    <row r="833" spans="1:8" x14ac:dyDescent="0.25">
      <c r="E833" t="str">
        <f>""</f>
        <v/>
      </c>
      <c r="F833" t="str">
        <f>""</f>
        <v/>
      </c>
      <c r="G833" s="4">
        <v>227.99</v>
      </c>
      <c r="H833" t="str">
        <f>"202530868001"</f>
        <v>202530868001</v>
      </c>
    </row>
    <row r="834" spans="1:8" x14ac:dyDescent="0.25">
      <c r="A834" t="s">
        <v>267</v>
      </c>
      <c r="B834">
        <v>138445</v>
      </c>
      <c r="C834" s="4">
        <v>1544.76</v>
      </c>
      <c r="D834" s="1">
        <v>44557</v>
      </c>
      <c r="E834" t="str">
        <f>"202112197899"</f>
        <v>202112197899</v>
      </c>
      <c r="F834" t="str">
        <f>"OFFICE DEPOT"</f>
        <v>OFFICE DEPOT</v>
      </c>
      <c r="G834" s="4">
        <v>278.93</v>
      </c>
      <c r="H834" t="str">
        <f>"213161889001"</f>
        <v>213161889001</v>
      </c>
    </row>
    <row r="835" spans="1:8" x14ac:dyDescent="0.25">
      <c r="E835" t="str">
        <f>""</f>
        <v/>
      </c>
      <c r="F835" t="str">
        <f>""</f>
        <v/>
      </c>
      <c r="G835" s="4">
        <v>1169.98</v>
      </c>
      <c r="H835" t="str">
        <f>"213494302001"</f>
        <v>213494302001</v>
      </c>
    </row>
    <row r="836" spans="1:8" x14ac:dyDescent="0.25">
      <c r="E836" t="str">
        <f>""</f>
        <v/>
      </c>
      <c r="F836" t="str">
        <f>""</f>
        <v/>
      </c>
      <c r="G836" s="4">
        <v>24.28</v>
      </c>
      <c r="H836" t="str">
        <f>"212435498001"</f>
        <v>212435498001</v>
      </c>
    </row>
    <row r="837" spans="1:8" x14ac:dyDescent="0.25">
      <c r="E837" t="str">
        <f>""</f>
        <v/>
      </c>
      <c r="F837" t="str">
        <f>""</f>
        <v/>
      </c>
      <c r="G837" s="4">
        <v>43.59</v>
      </c>
      <c r="H837" t="str">
        <f>"212437565001"</f>
        <v>212437565001</v>
      </c>
    </row>
    <row r="838" spans="1:8" x14ac:dyDescent="0.25">
      <c r="E838" t="str">
        <f>""</f>
        <v/>
      </c>
      <c r="F838" t="str">
        <f>""</f>
        <v/>
      </c>
      <c r="G838" s="4">
        <v>21.99</v>
      </c>
      <c r="H838" t="str">
        <f>"212437566001"</f>
        <v>212437566001</v>
      </c>
    </row>
    <row r="839" spans="1:8" x14ac:dyDescent="0.25">
      <c r="E839" t="str">
        <f>""</f>
        <v/>
      </c>
      <c r="F839" t="str">
        <f>""</f>
        <v/>
      </c>
      <c r="G839" s="4">
        <v>5.99</v>
      </c>
      <c r="H839" t="str">
        <f>"212437567001"</f>
        <v>212437567001</v>
      </c>
    </row>
    <row r="840" spans="1:8" x14ac:dyDescent="0.25">
      <c r="A840" t="s">
        <v>268</v>
      </c>
      <c r="B840">
        <v>138270</v>
      </c>
      <c r="C840" s="4">
        <v>42</v>
      </c>
      <c r="D840" s="1">
        <v>44543</v>
      </c>
      <c r="E840" t="str">
        <f>"321-008011"</f>
        <v>321-008011</v>
      </c>
      <c r="F840" t="str">
        <f>"3RD QRTR ACTIVITY / COUNTY CLK"</f>
        <v>3RD QRTR ACTIVITY / COUNTY CLK</v>
      </c>
      <c r="G840" s="4">
        <v>42</v>
      </c>
      <c r="H840" t="str">
        <f>"3RD QRTR ACTIVITY / COUNTY CLK"</f>
        <v>3RD QRTR ACTIVITY / COUNTY CLK</v>
      </c>
    </row>
    <row r="841" spans="1:8" x14ac:dyDescent="0.25">
      <c r="A841" t="s">
        <v>269</v>
      </c>
      <c r="B841">
        <v>138271</v>
      </c>
      <c r="C841" s="4">
        <v>665</v>
      </c>
      <c r="D841" s="1">
        <v>44543</v>
      </c>
      <c r="E841" t="str">
        <f>"289341"</f>
        <v>289341</v>
      </c>
      <c r="F841" t="str">
        <f>"CUST ID BASCOU PCT#1"</f>
        <v>CUST ID BASCOU PCT#1</v>
      </c>
      <c r="G841" s="4">
        <v>155</v>
      </c>
      <c r="H841" t="str">
        <f>"CUST ID BASCOU PCT#1"</f>
        <v>CUST ID BASCOU PCT#1</v>
      </c>
    </row>
    <row r="842" spans="1:8" x14ac:dyDescent="0.25">
      <c r="E842" t="str">
        <f>"289341 - P4"</f>
        <v>289341 - P4</v>
      </c>
      <c r="F842" t="str">
        <f>"CUST ID:BASCOUDRUG SCREENING"</f>
        <v>CUST ID:BASCOUDRUG SCREENING</v>
      </c>
      <c r="G842" s="4">
        <v>90</v>
      </c>
      <c r="H842" t="str">
        <f>"CUST ID:BASCOUDRUG SCREENING"</f>
        <v>CUST ID:BASCOUDRUG SCREENING</v>
      </c>
    </row>
    <row r="843" spans="1:8" x14ac:dyDescent="0.25">
      <c r="E843" t="str">
        <f>"289341 2"</f>
        <v>289341 2</v>
      </c>
      <c r="F843" t="str">
        <f>"CUST ID BASCOU PCT#2"</f>
        <v>CUST ID BASCOU PCT#2</v>
      </c>
      <c r="G843" s="4">
        <v>165</v>
      </c>
      <c r="H843" t="str">
        <f>"CUST ID BASCOU PCT#2"</f>
        <v>CUST ID BASCOU PCT#2</v>
      </c>
    </row>
    <row r="844" spans="1:8" x14ac:dyDescent="0.25">
      <c r="E844" t="str">
        <f>"289341 3"</f>
        <v>289341 3</v>
      </c>
      <c r="F844" t="str">
        <f>"CUST ID BASCOU PCT#3"</f>
        <v>CUST ID BASCOU PCT#3</v>
      </c>
      <c r="G844" s="4">
        <v>170</v>
      </c>
      <c r="H844" t="str">
        <f>"CUST ID BASCOU PCT#3"</f>
        <v>CUST ID BASCOU PCT#3</v>
      </c>
    </row>
    <row r="845" spans="1:8" x14ac:dyDescent="0.25">
      <c r="E845" t="str">
        <f>"289911"</f>
        <v>289911</v>
      </c>
      <c r="F845" t="str">
        <f>"PRE EMPLOYMENT DRUG SCREEN"</f>
        <v>PRE EMPLOYMENT DRUG SCREEN</v>
      </c>
      <c r="G845" s="4">
        <v>35</v>
      </c>
      <c r="H845" t="str">
        <f>"PRE EMPLOYMENT DRUG SCREEN"</f>
        <v>PRE EMPLOYMENT DRUG SCREEN</v>
      </c>
    </row>
    <row r="846" spans="1:8" x14ac:dyDescent="0.25">
      <c r="E846" t="str">
        <f>""</f>
        <v/>
      </c>
      <c r="F846" t="str">
        <f>""</f>
        <v/>
      </c>
      <c r="G846" s="4">
        <v>25</v>
      </c>
      <c r="H846" t="str">
        <f>"PRE EMPLOYMENT DRUG SCREEN"</f>
        <v>PRE EMPLOYMENT DRUG SCREEN</v>
      </c>
    </row>
    <row r="847" spans="1:8" x14ac:dyDescent="0.25">
      <c r="E847" t="str">
        <f>"289911 - P4"</f>
        <v>289911 - P4</v>
      </c>
      <c r="F847" t="str">
        <f>"PRE EMPLOYMENT DRUG SCREEN"</f>
        <v>PRE EMPLOYMENT DRUG SCREEN</v>
      </c>
      <c r="G847" s="4">
        <v>25</v>
      </c>
      <c r="H847" t="str">
        <f>"PRE EMPLOYMENT DRUG SCREEN"</f>
        <v>PRE EMPLOYMENT DRUG SCREEN</v>
      </c>
    </row>
    <row r="848" spans="1:8" x14ac:dyDescent="0.25">
      <c r="A848" t="s">
        <v>270</v>
      </c>
      <c r="B848">
        <v>138446</v>
      </c>
      <c r="C848" s="4">
        <v>107.11</v>
      </c>
      <c r="D848" s="1">
        <v>44557</v>
      </c>
      <c r="E848" t="str">
        <f>"4654*160*1"</f>
        <v>4654*160*1</v>
      </c>
      <c r="F848" t="str">
        <f>"JAIL MEDICAL"</f>
        <v>JAIL MEDICAL</v>
      </c>
      <c r="G848" s="4">
        <v>107.11</v>
      </c>
      <c r="H848" t="str">
        <f>"JAIL MEDICAL"</f>
        <v>JAIL MEDICAL</v>
      </c>
    </row>
    <row r="849" spans="1:8" x14ac:dyDescent="0.25">
      <c r="A849" t="s">
        <v>271</v>
      </c>
      <c r="B849">
        <v>138272</v>
      </c>
      <c r="C849" s="4">
        <v>45</v>
      </c>
      <c r="D849" s="1">
        <v>44543</v>
      </c>
      <c r="E849" t="str">
        <f>"202111297433"</f>
        <v>202111297433</v>
      </c>
      <c r="F849" t="str">
        <f>"FERAL HOGS"</f>
        <v>FERAL HOGS</v>
      </c>
      <c r="G849" s="4">
        <v>45</v>
      </c>
      <c r="H849" t="str">
        <f>"FERAL HOGS"</f>
        <v>FERAL HOGS</v>
      </c>
    </row>
    <row r="850" spans="1:8" x14ac:dyDescent="0.25">
      <c r="A850" t="s">
        <v>272</v>
      </c>
      <c r="B850">
        <v>138447</v>
      </c>
      <c r="C850" s="4">
        <v>1662.17</v>
      </c>
      <c r="D850" s="1">
        <v>44557</v>
      </c>
      <c r="E850" t="str">
        <f>"00043145"</f>
        <v>00043145</v>
      </c>
      <c r="F850" t="str">
        <f>"INV 00043145"</f>
        <v>INV 00043145</v>
      </c>
      <c r="G850" s="4">
        <v>1662.17</v>
      </c>
      <c r="H850" t="str">
        <f>"INV 00043145"</f>
        <v>INV 00043145</v>
      </c>
    </row>
    <row r="851" spans="1:8" x14ac:dyDescent="0.25">
      <c r="A851" t="s">
        <v>273</v>
      </c>
      <c r="B851">
        <v>138273</v>
      </c>
      <c r="C851" s="4">
        <v>566.46</v>
      </c>
      <c r="D851" s="1">
        <v>44543</v>
      </c>
      <c r="E851" t="str">
        <f>"86946"</f>
        <v>86946</v>
      </c>
      <c r="F851" t="str">
        <f>"STIHL SAW CHAIN PCT#1"</f>
        <v>STIHL SAW CHAIN PCT#1</v>
      </c>
      <c r="G851" s="4">
        <v>57.98</v>
      </c>
      <c r="H851" t="str">
        <f>"STIHL SAW CHAIN PCT#1"</f>
        <v>STIHL SAW CHAIN PCT#1</v>
      </c>
    </row>
    <row r="852" spans="1:8" x14ac:dyDescent="0.25">
      <c r="E852" t="str">
        <f>"87138"</f>
        <v>87138</v>
      </c>
      <c r="F852" t="str">
        <f>"PARTS PCT#1"</f>
        <v>PARTS PCT#1</v>
      </c>
      <c r="G852" s="4">
        <v>508.48</v>
      </c>
      <c r="H852" t="str">
        <f>"PARTS PCT#1"</f>
        <v>PARTS PCT#1</v>
      </c>
    </row>
    <row r="853" spans="1:8" x14ac:dyDescent="0.25">
      <c r="A853" t="s">
        <v>274</v>
      </c>
      <c r="B853">
        <v>5515</v>
      </c>
      <c r="C853" s="4">
        <v>145</v>
      </c>
      <c r="D853" s="1">
        <v>44544</v>
      </c>
      <c r="E853" t="str">
        <f>"0000061095"</f>
        <v>0000061095</v>
      </c>
      <c r="F853" t="str">
        <f>"INV 0000061095"</f>
        <v>INV 0000061095</v>
      </c>
      <c r="G853" s="4">
        <v>145</v>
      </c>
      <c r="H853" t="str">
        <f>"INV 0000061095"</f>
        <v>INV 0000061095</v>
      </c>
    </row>
    <row r="854" spans="1:8" x14ac:dyDescent="0.25">
      <c r="A854" t="s">
        <v>275</v>
      </c>
      <c r="B854">
        <v>138274</v>
      </c>
      <c r="C854" s="4">
        <v>14.72</v>
      </c>
      <c r="D854" s="1">
        <v>44543</v>
      </c>
      <c r="E854" t="str">
        <f>"202112077690"</f>
        <v>202112077690</v>
      </c>
      <c r="F854" t="str">
        <f>"CUST#PK001137/PCT#4"</f>
        <v>CUST#PK001137/PCT#4</v>
      </c>
      <c r="G854" s="4">
        <v>14.72</v>
      </c>
      <c r="H854" t="str">
        <f>"CUST#PK001137/PCT#4"</f>
        <v>CUST#PK001137/PCT#4</v>
      </c>
    </row>
    <row r="855" spans="1:8" x14ac:dyDescent="0.25">
      <c r="A855" t="s">
        <v>276</v>
      </c>
      <c r="B855">
        <v>138275</v>
      </c>
      <c r="C855" s="4">
        <v>308.20999999999998</v>
      </c>
      <c r="D855" s="1">
        <v>44543</v>
      </c>
      <c r="E855" t="str">
        <f>"28400791"</f>
        <v>28400791</v>
      </c>
      <c r="F855" t="str">
        <f>"INV 28400791"</f>
        <v>INV 28400791</v>
      </c>
      <c r="G855" s="4">
        <v>308.20999999999998</v>
      </c>
      <c r="H855" t="str">
        <f>"INV 28400791"</f>
        <v>INV 28400791</v>
      </c>
    </row>
    <row r="856" spans="1:8" x14ac:dyDescent="0.25">
      <c r="A856" t="s">
        <v>277</v>
      </c>
      <c r="B856">
        <v>5488</v>
      </c>
      <c r="C856" s="4">
        <v>10155.06</v>
      </c>
      <c r="D856" s="1">
        <v>44544</v>
      </c>
      <c r="E856" t="str">
        <f>"2008497"</f>
        <v>2008497</v>
      </c>
      <c r="F856" t="str">
        <f>"ACCT#BA-CNTY-01/PCT#4"</f>
        <v>ACCT#BA-CNTY-01/PCT#4</v>
      </c>
      <c r="G856" s="4">
        <v>10155.06</v>
      </c>
      <c r="H856" t="str">
        <f>"ACCT#BA-CNTY-01/PCT#4"</f>
        <v>ACCT#BA-CNTY-01/PCT#4</v>
      </c>
    </row>
    <row r="857" spans="1:8" x14ac:dyDescent="0.25">
      <c r="A857" t="s">
        <v>278</v>
      </c>
      <c r="B857">
        <v>5481</v>
      </c>
      <c r="C857" s="4">
        <v>220</v>
      </c>
      <c r="D857" s="1">
        <v>44544</v>
      </c>
      <c r="E857" t="str">
        <f>"P9380"</f>
        <v>P9380</v>
      </c>
      <c r="F857" t="str">
        <f>"INV P9380"</f>
        <v>INV P9380</v>
      </c>
      <c r="G857" s="4">
        <v>220</v>
      </c>
      <c r="H857" t="str">
        <f>"INV P9380"</f>
        <v>INV P9380</v>
      </c>
    </row>
    <row r="858" spans="1:8" x14ac:dyDescent="0.25">
      <c r="A858" t="s">
        <v>279</v>
      </c>
      <c r="B858">
        <v>138448</v>
      </c>
      <c r="C858" s="4">
        <v>1036.0999999999999</v>
      </c>
      <c r="D858" s="1">
        <v>44557</v>
      </c>
      <c r="E858" t="str">
        <f>"202112177857"</f>
        <v>202112177857</v>
      </c>
      <c r="F858" t="str">
        <f>"ACCT#0200140783 / 11252021"</f>
        <v>ACCT#0200140783 / 11252021</v>
      </c>
      <c r="G858" s="4">
        <v>1023.16</v>
      </c>
      <c r="H858" t="str">
        <f>"ACCT#0200140783 / 11252021"</f>
        <v>ACCT#0200140783 / 11252021</v>
      </c>
    </row>
    <row r="859" spans="1:8" x14ac:dyDescent="0.25">
      <c r="E859" t="str">
        <f>""</f>
        <v/>
      </c>
      <c r="F859" t="str">
        <f>""</f>
        <v/>
      </c>
      <c r="G859" s="4">
        <v>12.94</v>
      </c>
      <c r="H859" t="str">
        <f>"ACCT#0200140783 / 11252021"</f>
        <v>ACCT#0200140783 / 11252021</v>
      </c>
    </row>
    <row r="860" spans="1:8" x14ac:dyDescent="0.25">
      <c r="A860" t="s">
        <v>280</v>
      </c>
      <c r="B860">
        <v>5484</v>
      </c>
      <c r="C860" s="4">
        <v>1046.5</v>
      </c>
      <c r="D860" s="1">
        <v>44544</v>
      </c>
      <c r="E860" t="str">
        <f>"202112087718"</f>
        <v>202112087718</v>
      </c>
      <c r="F860" t="str">
        <f>"TRASH REMOVAL 12/01-12/10/P4"</f>
        <v>TRASH REMOVAL 12/01-12/10/P4</v>
      </c>
      <c r="G860" s="4">
        <v>624</v>
      </c>
      <c r="H860" t="str">
        <f>"TRASH REMOVAL 12/01-12/10/P4"</f>
        <v>TRASH REMOVAL 12/01-12/10/P4</v>
      </c>
    </row>
    <row r="861" spans="1:8" x14ac:dyDescent="0.25">
      <c r="E861" t="str">
        <f>"202112087719"</f>
        <v>202112087719</v>
      </c>
      <c r="F861" t="str">
        <f>"TRASH REMOVAL 11/22-11/30/P4"</f>
        <v>TRASH REMOVAL 11/22-11/30/P4</v>
      </c>
      <c r="G861" s="4">
        <v>422.5</v>
      </c>
      <c r="H861" t="str">
        <f>"TRASH REMOVAL 11/22-11/30/P4"</f>
        <v>TRASH REMOVAL 11/22-11/30/P4</v>
      </c>
    </row>
    <row r="862" spans="1:8" x14ac:dyDescent="0.25">
      <c r="A862" t="s">
        <v>280</v>
      </c>
      <c r="B862">
        <v>5563</v>
      </c>
      <c r="C862" s="4">
        <v>643.5</v>
      </c>
      <c r="D862" s="1">
        <v>44558</v>
      </c>
      <c r="E862" t="str">
        <f>"202112207957"</f>
        <v>202112207957</v>
      </c>
      <c r="F862" t="str">
        <f>"TRASH REMOVAL 12132021-1223202"</f>
        <v>TRASH REMOVAL 12132021-1223202</v>
      </c>
      <c r="G862" s="4">
        <v>643.5</v>
      </c>
      <c r="H862" t="str">
        <f>"TRASH REMOVAL 12132021-1223202"</f>
        <v>TRASH REMOVAL 12132021-1223202</v>
      </c>
    </row>
    <row r="863" spans="1:8" x14ac:dyDescent="0.25">
      <c r="A863" t="s">
        <v>281</v>
      </c>
      <c r="B863">
        <v>138276</v>
      </c>
      <c r="C863" s="4">
        <v>810</v>
      </c>
      <c r="D863" s="1">
        <v>44543</v>
      </c>
      <c r="E863" t="str">
        <f>"141574"</f>
        <v>141574</v>
      </c>
      <c r="F863" t="str">
        <f>"INV 141574"</f>
        <v>INV 141574</v>
      </c>
      <c r="G863" s="4">
        <v>810</v>
      </c>
      <c r="H863" t="str">
        <f>"INV 141574"</f>
        <v>INV 141574</v>
      </c>
    </row>
    <row r="864" spans="1:8" x14ac:dyDescent="0.25">
      <c r="A864" t="s">
        <v>282</v>
      </c>
      <c r="B864">
        <v>138277</v>
      </c>
      <c r="C864" s="4">
        <v>431</v>
      </c>
      <c r="D864" s="1">
        <v>44543</v>
      </c>
      <c r="E864" t="str">
        <f>"50184514"</f>
        <v>50184514</v>
      </c>
      <c r="F864" t="str">
        <f>"ACCT#348783/COUNTY CLERK"</f>
        <v>ACCT#348783/COUNTY CLERK</v>
      </c>
      <c r="G864" s="4">
        <v>431</v>
      </c>
      <c r="H864" t="str">
        <f>"ACCT#348783/COUNTY CLERK"</f>
        <v>ACCT#348783/COUNTY CLERK</v>
      </c>
    </row>
    <row r="865" spans="1:8" x14ac:dyDescent="0.25">
      <c r="A865" t="s">
        <v>283</v>
      </c>
      <c r="B865">
        <v>5533</v>
      </c>
      <c r="C865" s="4">
        <v>1680.5</v>
      </c>
      <c r="D865" s="1">
        <v>44544</v>
      </c>
      <c r="E865" t="str">
        <f>"202111307487"</f>
        <v>202111307487</v>
      </c>
      <c r="F865" t="str">
        <f>"20-20030"</f>
        <v>20-20030</v>
      </c>
      <c r="G865" s="4">
        <v>681</v>
      </c>
      <c r="H865" t="str">
        <f>"20-20030"</f>
        <v>20-20030</v>
      </c>
    </row>
    <row r="866" spans="1:8" x14ac:dyDescent="0.25">
      <c r="E866" t="str">
        <f>"202112027588"</f>
        <v>202112027588</v>
      </c>
      <c r="F866" t="str">
        <f>"20-20508"</f>
        <v>20-20508</v>
      </c>
      <c r="G866" s="4">
        <v>812</v>
      </c>
      <c r="H866" t="str">
        <f>"20-20508"</f>
        <v>20-20508</v>
      </c>
    </row>
    <row r="867" spans="1:8" x14ac:dyDescent="0.25">
      <c r="E867" t="str">
        <f>"202112067671"</f>
        <v>202112067671</v>
      </c>
      <c r="F867" t="str">
        <f>"20-20227"</f>
        <v>20-20227</v>
      </c>
      <c r="G867" s="4">
        <v>62.5</v>
      </c>
      <c r="H867" t="str">
        <f>"20-20227"</f>
        <v>20-20227</v>
      </c>
    </row>
    <row r="868" spans="1:8" x14ac:dyDescent="0.25">
      <c r="E868" t="str">
        <f>"202112067672"</f>
        <v>202112067672</v>
      </c>
      <c r="F868" t="str">
        <f>"20-20415"</f>
        <v>20-20415</v>
      </c>
      <c r="G868" s="4">
        <v>62.5</v>
      </c>
      <c r="H868" t="str">
        <f>"20-20415"</f>
        <v>20-20415</v>
      </c>
    </row>
    <row r="869" spans="1:8" x14ac:dyDescent="0.25">
      <c r="E869" t="str">
        <f>"202112067673"</f>
        <v>202112067673</v>
      </c>
      <c r="F869" t="str">
        <f>"20-20527"</f>
        <v>20-20527</v>
      </c>
      <c r="G869" s="4">
        <v>62.5</v>
      </c>
      <c r="H869" t="str">
        <f>"20-20527"</f>
        <v>20-20527</v>
      </c>
    </row>
    <row r="870" spans="1:8" x14ac:dyDescent="0.25">
      <c r="A870" t="s">
        <v>283</v>
      </c>
      <c r="B870">
        <v>5592</v>
      </c>
      <c r="C870" s="4">
        <v>3186.5</v>
      </c>
      <c r="D870" s="1">
        <v>44558</v>
      </c>
      <c r="E870" t="str">
        <f>"202112167800"</f>
        <v>202112167800</v>
      </c>
      <c r="F870" t="str">
        <f>"21-20975"</f>
        <v>21-20975</v>
      </c>
      <c r="G870" s="4">
        <v>587</v>
      </c>
      <c r="H870" t="str">
        <f>"21-20975"</f>
        <v>21-20975</v>
      </c>
    </row>
    <row r="871" spans="1:8" x14ac:dyDescent="0.25">
      <c r="E871" t="str">
        <f>"202112167801"</f>
        <v>202112167801</v>
      </c>
      <c r="F871" t="str">
        <f>"21-21040"</f>
        <v>21-21040</v>
      </c>
      <c r="G871" s="4">
        <v>743.75</v>
      </c>
      <c r="H871" t="str">
        <f>"21-21040"</f>
        <v>21-21040</v>
      </c>
    </row>
    <row r="872" spans="1:8" x14ac:dyDescent="0.25">
      <c r="E872" t="str">
        <f>"202112167802"</f>
        <v>202112167802</v>
      </c>
      <c r="F872" t="str">
        <f>"21-21036"</f>
        <v>21-21036</v>
      </c>
      <c r="G872" s="4">
        <v>650</v>
      </c>
      <c r="H872" t="str">
        <f>"21-21036"</f>
        <v>21-21036</v>
      </c>
    </row>
    <row r="873" spans="1:8" x14ac:dyDescent="0.25">
      <c r="E873" t="str">
        <f>"202112167823"</f>
        <v>202112167823</v>
      </c>
      <c r="F873" t="str">
        <f>"21-20596"</f>
        <v>21-20596</v>
      </c>
      <c r="G873" s="4">
        <v>462</v>
      </c>
      <c r="H873" t="str">
        <f>"21-20596"</f>
        <v>21-20596</v>
      </c>
    </row>
    <row r="874" spans="1:8" x14ac:dyDescent="0.25">
      <c r="E874" t="str">
        <f>"202112167824"</f>
        <v>202112167824</v>
      </c>
      <c r="F874" t="str">
        <f>"20-20403"</f>
        <v>20-20403</v>
      </c>
      <c r="G874" s="4">
        <v>243.75</v>
      </c>
      <c r="H874" t="str">
        <f>"20-20403"</f>
        <v>20-20403</v>
      </c>
    </row>
    <row r="875" spans="1:8" x14ac:dyDescent="0.25">
      <c r="E875" t="str">
        <f>"202112197913"</f>
        <v>202112197913</v>
      </c>
      <c r="F875" t="str">
        <f>"57551  57 542  58 136"</f>
        <v>57551  57 542  58 136</v>
      </c>
      <c r="G875" s="4">
        <v>500</v>
      </c>
      <c r="H875" t="str">
        <f>"57551  57 542  58 136"</f>
        <v>57551  57 542  58 136</v>
      </c>
    </row>
    <row r="876" spans="1:8" x14ac:dyDescent="0.25">
      <c r="A876" t="s">
        <v>284</v>
      </c>
      <c r="B876">
        <v>138449</v>
      </c>
      <c r="C876" s="4">
        <v>500</v>
      </c>
      <c r="D876" s="1">
        <v>44557</v>
      </c>
      <c r="E876" t="str">
        <f>"202112167848"</f>
        <v>202112167848</v>
      </c>
      <c r="F876" t="str">
        <f>"57-432"</f>
        <v>57-432</v>
      </c>
      <c r="G876" s="4">
        <v>250</v>
      </c>
      <c r="H876" t="str">
        <f>"57-432"</f>
        <v>57-432</v>
      </c>
    </row>
    <row r="877" spans="1:8" x14ac:dyDescent="0.25">
      <c r="E877" t="str">
        <f>"202112167849"</f>
        <v>202112167849</v>
      </c>
      <c r="F877" t="str">
        <f>"56-142"</f>
        <v>56-142</v>
      </c>
      <c r="G877" s="4">
        <v>250</v>
      </c>
      <c r="H877" t="str">
        <f>"56-142"</f>
        <v>56-142</v>
      </c>
    </row>
    <row r="878" spans="1:8" x14ac:dyDescent="0.25">
      <c r="A878" t="s">
        <v>285</v>
      </c>
      <c r="B878">
        <v>138450</v>
      </c>
      <c r="C878" s="4">
        <v>108</v>
      </c>
      <c r="D878" s="1">
        <v>44557</v>
      </c>
      <c r="E878" t="str">
        <f>"003211"</f>
        <v>003211</v>
      </c>
      <c r="F878" t="str">
        <f>"INSPECTION / PCT #3"</f>
        <v>INSPECTION / PCT #3</v>
      </c>
      <c r="G878" s="4">
        <v>40</v>
      </c>
      <c r="H878" t="str">
        <f>"INSPECTION / PCT #3"</f>
        <v>INSPECTION / PCT #3</v>
      </c>
    </row>
    <row r="879" spans="1:8" x14ac:dyDescent="0.25">
      <c r="E879" t="str">
        <f>"03212"</f>
        <v>03212</v>
      </c>
      <c r="F879" t="str">
        <f>"INSPECTION / PCT #3"</f>
        <v>INSPECTION / PCT #3</v>
      </c>
      <c r="G879" s="4">
        <v>68</v>
      </c>
      <c r="H879" t="str">
        <f>"INSPECTION / PCT #3"</f>
        <v>INSPECTION / PCT #3</v>
      </c>
    </row>
    <row r="880" spans="1:8" x14ac:dyDescent="0.25">
      <c r="A880" t="s">
        <v>286</v>
      </c>
      <c r="B880">
        <v>138278</v>
      </c>
      <c r="C880" s="4">
        <v>218.39</v>
      </c>
      <c r="D880" s="1">
        <v>44543</v>
      </c>
      <c r="E880" t="str">
        <f>"1019529853"</f>
        <v>1019529853</v>
      </c>
      <c r="F880" t="str">
        <f>"ACCT#0011198047"</f>
        <v>ACCT#0011198047</v>
      </c>
      <c r="G880" s="4">
        <v>218.39</v>
      </c>
      <c r="H880" t="str">
        <f>"ACCT#0011198047"</f>
        <v>ACCT#0011198047</v>
      </c>
    </row>
    <row r="881" spans="1:8" x14ac:dyDescent="0.25">
      <c r="A881" t="s">
        <v>287</v>
      </c>
      <c r="B881">
        <v>5532</v>
      </c>
      <c r="C881" s="4">
        <v>3302.97</v>
      </c>
      <c r="D881" s="1">
        <v>44544</v>
      </c>
      <c r="E881" t="str">
        <f>"3314118416"</f>
        <v>3314118416</v>
      </c>
      <c r="F881" t="str">
        <f>"ACCT#0017315717/TAX ASSESSOR"</f>
        <v>ACCT#0017315717/TAX ASSESSOR</v>
      </c>
      <c r="G881" s="4">
        <v>1347.36</v>
      </c>
      <c r="H881" t="str">
        <f>"ACCT#0017315717/TAX ASSESSOR"</f>
        <v>ACCT#0017315717/TAX ASSESSOR</v>
      </c>
    </row>
    <row r="882" spans="1:8" x14ac:dyDescent="0.25">
      <c r="E882" t="str">
        <f>"3314683060"</f>
        <v>3314683060</v>
      </c>
      <c r="F882" t="str">
        <f>"ACCT#0010366024/TAX ASSESSOR"</f>
        <v>ACCT#0010366024/TAX ASSESSOR</v>
      </c>
      <c r="G882" s="4">
        <v>195.96</v>
      </c>
      <c r="H882" t="str">
        <f>"ACCT#0010366024/TAX ASSESSOR"</f>
        <v>ACCT#0010366024/TAX ASSESSOR</v>
      </c>
    </row>
    <row r="883" spans="1:8" x14ac:dyDescent="0.25">
      <c r="E883" t="str">
        <f>"3314704921"</f>
        <v>3314704921</v>
      </c>
      <c r="F883" t="str">
        <f>"ACCT#0017315717/TAX ASSESSOR"</f>
        <v>ACCT#0017315717/TAX ASSESSOR</v>
      </c>
      <c r="G883" s="4">
        <v>1347.36</v>
      </c>
      <c r="H883" t="str">
        <f>"ACCT#0017315717/TAX ASSESSOR"</f>
        <v>ACCT#0017315717/TAX ASSESSOR</v>
      </c>
    </row>
    <row r="884" spans="1:8" x14ac:dyDescent="0.25">
      <c r="E884" t="str">
        <f>"3314705849"</f>
        <v>3314705849</v>
      </c>
      <c r="F884" t="str">
        <f>"INV 3314705849"</f>
        <v>INV 3314705849</v>
      </c>
      <c r="G884" s="4">
        <v>412.29</v>
      </c>
      <c r="H884" t="str">
        <f>"INV 3314705849"</f>
        <v>INV 3314705849</v>
      </c>
    </row>
    <row r="885" spans="1:8" x14ac:dyDescent="0.25">
      <c r="A885" t="s">
        <v>288</v>
      </c>
      <c r="B885">
        <v>138279</v>
      </c>
      <c r="C885" s="4">
        <v>148.22999999999999</v>
      </c>
      <c r="D885" s="1">
        <v>44543</v>
      </c>
      <c r="E885" t="str">
        <f>"216417"</f>
        <v>216417</v>
      </c>
      <c r="F885" t="str">
        <f>"JURY LUNCH 11/18/21"</f>
        <v>JURY LUNCH 11/18/21</v>
      </c>
      <c r="G885" s="4">
        <v>148.22999999999999</v>
      </c>
      <c r="H885" t="str">
        <f>"JURY LUNCH 11/18/21"</f>
        <v>JURY LUNCH 11/18/21</v>
      </c>
    </row>
    <row r="886" spans="1:8" x14ac:dyDescent="0.25">
      <c r="A886" t="s">
        <v>289</v>
      </c>
      <c r="B886">
        <v>5493</v>
      </c>
      <c r="C886" s="4">
        <v>250</v>
      </c>
      <c r="D886" s="1">
        <v>44544</v>
      </c>
      <c r="E886" t="str">
        <f>"202112027643"</f>
        <v>202112027643</v>
      </c>
      <c r="F886" t="str">
        <f>"57 640"</f>
        <v>57 640</v>
      </c>
      <c r="G886" s="4">
        <v>250</v>
      </c>
      <c r="H886" t="str">
        <f>"57 640"</f>
        <v>57 640</v>
      </c>
    </row>
    <row r="887" spans="1:8" x14ac:dyDescent="0.25">
      <c r="A887" t="s">
        <v>290</v>
      </c>
      <c r="B887">
        <v>5505</v>
      </c>
      <c r="C887" s="4">
        <v>209.65</v>
      </c>
      <c r="D887" s="1">
        <v>44544</v>
      </c>
      <c r="E887" t="str">
        <f>"202112077687"</f>
        <v>202112077687</v>
      </c>
      <c r="F887" t="str">
        <f>"ACCT#5/PCT#4"</f>
        <v>ACCT#5/PCT#4</v>
      </c>
      <c r="G887" s="4">
        <v>209.65</v>
      </c>
      <c r="H887" t="str">
        <f>"ACCT#5/PCT#4"</f>
        <v>ACCT#5/PCT#4</v>
      </c>
    </row>
    <row r="888" spans="1:8" x14ac:dyDescent="0.25">
      <c r="A888" t="s">
        <v>291</v>
      </c>
      <c r="B888">
        <v>138280</v>
      </c>
      <c r="C888" s="4">
        <v>162</v>
      </c>
      <c r="D888" s="1">
        <v>44543</v>
      </c>
      <c r="E888" t="str">
        <f>"BCCP024110121"</f>
        <v>BCCP024110121</v>
      </c>
      <c r="F888" t="str">
        <f>"CUST ID#BCCP024/F.J.DZIENOWSKI"</f>
        <v>CUST ID#BCCP024/F.J.DZIENOWSKI</v>
      </c>
      <c r="G888" s="4">
        <v>162</v>
      </c>
      <c r="H888" t="str">
        <f>"CUST ID#BCCP024/SUBSCRIP RNWL"</f>
        <v>CUST ID#BCCP024/SUBSCRIP RNWL</v>
      </c>
    </row>
    <row r="889" spans="1:8" x14ac:dyDescent="0.25">
      <c r="A889" t="s">
        <v>292</v>
      </c>
      <c r="B889">
        <v>138281</v>
      </c>
      <c r="C889" s="4">
        <v>162</v>
      </c>
      <c r="D889" s="1">
        <v>44543</v>
      </c>
      <c r="E889" t="str">
        <f>"341565"</f>
        <v>341565</v>
      </c>
      <c r="F889" t="str">
        <f>"ANNUAL FIRE EXT MAINT"</f>
        <v>ANNUAL FIRE EXT MAINT</v>
      </c>
      <c r="G889" s="4">
        <v>50</v>
      </c>
      <c r="H889" t="str">
        <f>"ANNUAL FIRE EXT MAINT"</f>
        <v>ANNUAL FIRE EXT MAINT</v>
      </c>
    </row>
    <row r="890" spans="1:8" x14ac:dyDescent="0.25">
      <c r="E890" t="str">
        <f>"PSI641748"</f>
        <v>PSI641748</v>
      </c>
      <c r="F890" t="str">
        <f>"ACCT#C542836/SVC CALL/INSP"</f>
        <v>ACCT#C542836/SVC CALL/INSP</v>
      </c>
      <c r="G890" s="4">
        <v>47</v>
      </c>
      <c r="H890" t="str">
        <f>"ACCT#C542836/SVC CALL/INSP"</f>
        <v>ACCT#C542836/SVC CALL/INSP</v>
      </c>
    </row>
    <row r="891" spans="1:8" x14ac:dyDescent="0.25">
      <c r="E891" t="str">
        <f>"PSI641749"</f>
        <v>PSI641749</v>
      </c>
      <c r="F891" t="str">
        <f>"ACCT#C542836/SVC CALL/INSP"</f>
        <v>ACCT#C542836/SVC CALL/INSP</v>
      </c>
      <c r="G891" s="4">
        <v>65</v>
      </c>
      <c r="H891" t="str">
        <f>"ACCT#C542836/SVC CALL/INSP"</f>
        <v>ACCT#C542836/SVC CALL/INSP</v>
      </c>
    </row>
    <row r="892" spans="1:8" x14ac:dyDescent="0.25">
      <c r="A892" t="s">
        <v>293</v>
      </c>
      <c r="B892">
        <v>138282</v>
      </c>
      <c r="C892" s="4">
        <v>83</v>
      </c>
      <c r="D892" s="1">
        <v>44543</v>
      </c>
      <c r="E892" t="str">
        <f>"049875"</f>
        <v>049875</v>
      </c>
      <c r="F892" t="str">
        <f>"INV 049875"</f>
        <v>INV 049875</v>
      </c>
      <c r="G892" s="4">
        <v>83</v>
      </c>
      <c r="H892" t="str">
        <f>"INV 049875"</f>
        <v>INV 049875</v>
      </c>
    </row>
    <row r="893" spans="1:8" x14ac:dyDescent="0.25">
      <c r="A893" t="s">
        <v>294</v>
      </c>
      <c r="B893">
        <v>5556</v>
      </c>
      <c r="C893" s="4">
        <v>179.89</v>
      </c>
      <c r="D893" s="1">
        <v>44558</v>
      </c>
      <c r="E893" t="str">
        <f>"11L0121569859"</f>
        <v>11L0121569859</v>
      </c>
      <c r="F893" t="str">
        <f>"ACCT#0121569859/JP#4"</f>
        <v>ACCT#0121569859/JP#4</v>
      </c>
      <c r="G893" s="4">
        <v>90.95</v>
      </c>
      <c r="H893" t="str">
        <f>"ACCT#0121569859/JP#4"</f>
        <v>ACCT#0121569859/JP#4</v>
      </c>
    </row>
    <row r="894" spans="1:8" x14ac:dyDescent="0.25">
      <c r="E894" t="str">
        <f>"11L0121587851"</f>
        <v>11L0121587851</v>
      </c>
      <c r="F894" t="str">
        <f>"ACCT#0121587851/PCT#4"</f>
        <v>ACCT#0121587851/PCT#4</v>
      </c>
      <c r="G894" s="4">
        <v>88.94</v>
      </c>
      <c r="H894" t="str">
        <f>"ACCT#0121587851/PCT#4"</f>
        <v>ACCT#0121587851/PCT#4</v>
      </c>
    </row>
    <row r="895" spans="1:8" x14ac:dyDescent="0.25">
      <c r="A895" t="s">
        <v>295</v>
      </c>
      <c r="B895">
        <v>138283</v>
      </c>
      <c r="C895" s="4">
        <v>400</v>
      </c>
      <c r="D895" s="1">
        <v>44543</v>
      </c>
      <c r="E895" t="str">
        <f>"202112027641"</f>
        <v>202112027641</v>
      </c>
      <c r="F895" t="str">
        <f>"CLEANING CNTY BARN PCT#2"</f>
        <v>CLEANING CNTY BARN PCT#2</v>
      </c>
      <c r="G895" s="4">
        <v>200</v>
      </c>
      <c r="H895" t="str">
        <f>"CLEANING CNTY BARN PCT#2"</f>
        <v>CLEANING CNTY BARN PCT#2</v>
      </c>
    </row>
    <row r="896" spans="1:8" x14ac:dyDescent="0.25">
      <c r="E896" t="str">
        <f>"202112027642"</f>
        <v>202112027642</v>
      </c>
      <c r="F896" t="str">
        <f>"CLEANING COUNTY BARN PCT#2"</f>
        <v>CLEANING COUNTY BARN PCT#2</v>
      </c>
      <c r="G896" s="4">
        <v>200</v>
      </c>
      <c r="H896" t="str">
        <f>"CLEANING COUNTY BARN PCT#2"</f>
        <v>CLEANING COUNTY BARN PCT#2</v>
      </c>
    </row>
    <row r="897" spans="1:8" x14ac:dyDescent="0.25">
      <c r="A897" t="s">
        <v>295</v>
      </c>
      <c r="B897">
        <v>138451</v>
      </c>
      <c r="C897" s="4">
        <v>200</v>
      </c>
      <c r="D897" s="1">
        <v>44557</v>
      </c>
      <c r="E897" t="str">
        <f>"12122021"</f>
        <v>12122021</v>
      </c>
      <c r="F897" t="str">
        <f>"CLEANING / PCT #2"</f>
        <v>CLEANING / PCT #2</v>
      </c>
      <c r="G897" s="4">
        <v>200</v>
      </c>
      <c r="H897" t="str">
        <f>"CLEANING / PCT #2"</f>
        <v>CLEANING / PCT #2</v>
      </c>
    </row>
    <row r="898" spans="1:8" x14ac:dyDescent="0.25">
      <c r="A898" t="s">
        <v>296</v>
      </c>
      <c r="B898">
        <v>5509</v>
      </c>
      <c r="C898" s="4">
        <v>3000</v>
      </c>
      <c r="D898" s="1">
        <v>44544</v>
      </c>
      <c r="E898" t="str">
        <f>"98"</f>
        <v>98</v>
      </c>
      <c r="F898" t="str">
        <f>"PROF SVCS-NOV 16-30 / DEC 2&amp;7"</f>
        <v>PROF SVCS-NOV 16-30 / DEC 2&amp;7</v>
      </c>
      <c r="G898" s="4">
        <v>3000</v>
      </c>
      <c r="H898" t="str">
        <f>"PROF SVCS-NOV 16-30 / DEC 2&amp;7"</f>
        <v>PROF SVCS-NOV 16-30 / DEC 2&amp;7</v>
      </c>
    </row>
    <row r="899" spans="1:8" x14ac:dyDescent="0.25">
      <c r="A899" t="s">
        <v>297</v>
      </c>
      <c r="B899">
        <v>138452</v>
      </c>
      <c r="C899" s="4">
        <v>959.17</v>
      </c>
      <c r="D899" s="1">
        <v>44557</v>
      </c>
      <c r="E899" t="str">
        <f>"202112177858"</f>
        <v>202112177858</v>
      </c>
      <c r="F899" t="str">
        <f>"CUST#19610 / 12102021"</f>
        <v>CUST#19610 / 12102021</v>
      </c>
      <c r="G899" s="4">
        <v>250</v>
      </c>
      <c r="H899" t="str">
        <f>"CUST#19610 / 12102021"</f>
        <v>CUST#19610 / 12102021</v>
      </c>
    </row>
    <row r="900" spans="1:8" x14ac:dyDescent="0.25">
      <c r="E900" t="str">
        <f>""</f>
        <v/>
      </c>
      <c r="F900" t="str">
        <f>""</f>
        <v/>
      </c>
      <c r="G900" s="4">
        <v>26.4</v>
      </c>
      <c r="H900" t="str">
        <f>"CUST#19610 / 12102021"</f>
        <v>CUST#19610 / 12102021</v>
      </c>
    </row>
    <row r="901" spans="1:8" x14ac:dyDescent="0.25">
      <c r="E901" t="str">
        <f>""</f>
        <v/>
      </c>
      <c r="F901" t="str">
        <f>""</f>
        <v/>
      </c>
      <c r="G901" s="4">
        <v>250</v>
      </c>
      <c r="H901" t="str">
        <f>"CUST#19610 / 12102021"</f>
        <v>CUST#19610 / 12102021</v>
      </c>
    </row>
    <row r="902" spans="1:8" x14ac:dyDescent="0.25">
      <c r="E902" t="str">
        <f>""</f>
        <v/>
      </c>
      <c r="F902" t="str">
        <f>""</f>
        <v/>
      </c>
      <c r="G902" s="4">
        <v>432.77</v>
      </c>
      <c r="H902" t="str">
        <f>"CUST#19610 / 12102021"</f>
        <v>CUST#19610 / 12102021</v>
      </c>
    </row>
    <row r="903" spans="1:8" x14ac:dyDescent="0.25">
      <c r="A903" t="s">
        <v>298</v>
      </c>
      <c r="B903">
        <v>138150</v>
      </c>
      <c r="C903" s="4">
        <v>1367.25</v>
      </c>
      <c r="D903" s="1">
        <v>44531</v>
      </c>
      <c r="E903" t="str">
        <f>"302 003 321 315 3"</f>
        <v>302 003 321 315 3</v>
      </c>
      <c r="F903" t="str">
        <f>"ACCT#15 070 712-3 / 11292021"</f>
        <v>ACCT#15 070 712-3 / 11292021</v>
      </c>
      <c r="G903" s="4">
        <v>18.420000000000002</v>
      </c>
      <c r="H903" t="str">
        <f>"ACCT#15 070 712-3 / 11292021"</f>
        <v>ACCT#15 070 712-3 / 11292021</v>
      </c>
    </row>
    <row r="904" spans="1:8" x14ac:dyDescent="0.25">
      <c r="E904" t="str">
        <f>"302 003 321 316 1"</f>
        <v>302 003 321 316 1</v>
      </c>
      <c r="F904" t="str">
        <f>"ACCT#15 070 713-1 / 11292021"</f>
        <v>ACCT#15 070 713-1 / 11292021</v>
      </c>
      <c r="G904" s="4">
        <v>22.29</v>
      </c>
      <c r="H904" t="str">
        <f>"ACCT#15 070 713-1 / 11292021"</f>
        <v>ACCT#15 070 713-1 / 11292021</v>
      </c>
    </row>
    <row r="905" spans="1:8" x14ac:dyDescent="0.25">
      <c r="E905" t="str">
        <f>"302 003 321 317 9"</f>
        <v>302 003 321 317 9</v>
      </c>
      <c r="F905" t="str">
        <f>"ACCT#15 072 199-1 / 11292021"</f>
        <v>ACCT#15 072 199-1 / 11292021</v>
      </c>
      <c r="G905" s="4">
        <v>76.099999999999994</v>
      </c>
      <c r="H905" t="str">
        <f>"ACCT#15 072 199-1 / 11292021"</f>
        <v>ACCT#15 072 199-1 / 11292021</v>
      </c>
    </row>
    <row r="906" spans="1:8" x14ac:dyDescent="0.25">
      <c r="E906" t="str">
        <f>"302 003 321 318 7"</f>
        <v>302 003 321 318 7</v>
      </c>
      <c r="F906" t="str">
        <f>"ACCT#15 072 200-7 / 11292021"</f>
        <v>ACCT#15 072 200-7 / 11292021</v>
      </c>
      <c r="G906" s="4">
        <v>225.16</v>
      </c>
      <c r="H906" t="str">
        <f>"ACCT#15 072 200-7 / 11292021"</f>
        <v>ACCT#15 072 200-7 / 11292021</v>
      </c>
    </row>
    <row r="907" spans="1:8" x14ac:dyDescent="0.25">
      <c r="E907" t="str">
        <f>"302 003 321 319 5"</f>
        <v>302 003 321 319 5</v>
      </c>
      <c r="F907" t="str">
        <f>"ACCT#15 072 201-5 / 11292021"</f>
        <v>ACCT#15 072 201-5 / 11292021</v>
      </c>
      <c r="G907" s="4">
        <v>337.23</v>
      </c>
      <c r="H907" t="str">
        <f>"ACCT#15 072 201-5 / 11292021"</f>
        <v>ACCT#15 072 201-5 / 11292021</v>
      </c>
    </row>
    <row r="908" spans="1:8" x14ac:dyDescent="0.25">
      <c r="E908" t="str">
        <f>"302 003 321 320 3"</f>
        <v>302 003 321 320 3</v>
      </c>
      <c r="F908" t="str">
        <f>"ACCT#15 072 202-3 / 11292021"</f>
        <v>ACCT#15 072 202-3 / 11292021</v>
      </c>
      <c r="G908" s="4">
        <v>26.52</v>
      </c>
      <c r="H908" t="str">
        <f>"ACCT#15 072 202-3 / 11292021"</f>
        <v>ACCT#15 072 202-3 / 11292021</v>
      </c>
    </row>
    <row r="909" spans="1:8" x14ac:dyDescent="0.25">
      <c r="E909" t="str">
        <f>"302 003 321 321 1"</f>
        <v>302 003 321 321 1</v>
      </c>
      <c r="F909" t="str">
        <f>"ACCT#15 072 203-1 / 11292021"</f>
        <v>ACCT#15 072 203-1 / 11292021</v>
      </c>
      <c r="G909" s="4">
        <v>13.12</v>
      </c>
      <c r="H909" t="str">
        <f>"ACCT#15 072 203-1 / 11292021"</f>
        <v>ACCT#15 072 203-1 / 11292021</v>
      </c>
    </row>
    <row r="910" spans="1:8" x14ac:dyDescent="0.25">
      <c r="E910" t="str">
        <f>"302 003 321 322 9"</f>
        <v>302 003 321 322 9</v>
      </c>
      <c r="F910" t="str">
        <f>"ACCT#15 072 204-9 / 11292021"</f>
        <v>ACCT#15 072 204-9 / 11292021</v>
      </c>
      <c r="G910" s="4">
        <v>250.29</v>
      </c>
      <c r="H910" t="str">
        <f>"ACCT#15 072 204-9 / 11292021"</f>
        <v>ACCT#15 072 204-9 / 11292021</v>
      </c>
    </row>
    <row r="911" spans="1:8" x14ac:dyDescent="0.25">
      <c r="E911" t="str">
        <f>"304 001 129 680 6"</f>
        <v>304 001 129 680 6</v>
      </c>
      <c r="F911" t="str">
        <f>"ACCT#15 069 451-1 / 11292021"</f>
        <v>ACCT#15 069 451-1 / 11292021</v>
      </c>
      <c r="G911" s="4">
        <v>398.12</v>
      </c>
      <c r="H911" t="str">
        <f>"ACCT#15 069 451-1 / 11292021"</f>
        <v>ACCT#15 069 451-1 / 11292021</v>
      </c>
    </row>
    <row r="912" spans="1:8" x14ac:dyDescent="0.25">
      <c r="A912" t="s">
        <v>299</v>
      </c>
      <c r="B912">
        <v>138453</v>
      </c>
      <c r="C912" s="4">
        <v>1000</v>
      </c>
      <c r="D912" s="1">
        <v>44557</v>
      </c>
      <c r="E912" t="str">
        <f>"202112197877"</f>
        <v>202112197877</v>
      </c>
      <c r="F912" t="str">
        <f>"ACCT 36251536"</f>
        <v>ACCT 36251536</v>
      </c>
      <c r="G912" s="4">
        <v>1000</v>
      </c>
      <c r="H912" t="str">
        <f>"ACCT 36251536"</f>
        <v>ACCT 36251536</v>
      </c>
    </row>
    <row r="913" spans="1:8" x14ac:dyDescent="0.25">
      <c r="A913" t="s">
        <v>300</v>
      </c>
      <c r="B913">
        <v>138284</v>
      </c>
      <c r="C913" s="4">
        <v>9315.17</v>
      </c>
      <c r="D913" s="1">
        <v>44543</v>
      </c>
      <c r="E913" t="str">
        <f>"38966236"</f>
        <v>38966236</v>
      </c>
      <c r="F913" t="str">
        <f>"CUST#2000172616"</f>
        <v>CUST#2000172616</v>
      </c>
      <c r="G913" s="4">
        <v>249.26</v>
      </c>
      <c r="H913" t="str">
        <f t="shared" ref="H913:H944" si="11">"CUST#2000172616"</f>
        <v>CUST#2000172616</v>
      </c>
    </row>
    <row r="914" spans="1:8" x14ac:dyDescent="0.25">
      <c r="E914" t="str">
        <f>""</f>
        <v/>
      </c>
      <c r="F914" t="str">
        <f>""</f>
        <v/>
      </c>
      <c r="G914" s="4">
        <v>174.17</v>
      </c>
      <c r="H914" t="str">
        <f t="shared" si="11"/>
        <v>CUST#2000172616</v>
      </c>
    </row>
    <row r="915" spans="1:8" x14ac:dyDescent="0.25">
      <c r="E915" t="str">
        <f>""</f>
        <v/>
      </c>
      <c r="F915" t="str">
        <f>""</f>
        <v/>
      </c>
      <c r="G915" s="4">
        <v>95.11</v>
      </c>
      <c r="H915" t="str">
        <f t="shared" si="11"/>
        <v>CUST#2000172616</v>
      </c>
    </row>
    <row r="916" spans="1:8" x14ac:dyDescent="0.25">
      <c r="E916" t="str">
        <f>""</f>
        <v/>
      </c>
      <c r="F916" t="str">
        <f>""</f>
        <v/>
      </c>
      <c r="G916" s="4">
        <v>101.5</v>
      </c>
      <c r="H916" t="str">
        <f t="shared" si="11"/>
        <v>CUST#2000172616</v>
      </c>
    </row>
    <row r="917" spans="1:8" x14ac:dyDescent="0.25">
      <c r="E917" t="str">
        <f>""</f>
        <v/>
      </c>
      <c r="F917" t="str">
        <f>""</f>
        <v/>
      </c>
      <c r="G917" s="4">
        <v>249.26</v>
      </c>
      <c r="H917" t="str">
        <f t="shared" si="11"/>
        <v>CUST#2000172616</v>
      </c>
    </row>
    <row r="918" spans="1:8" x14ac:dyDescent="0.25">
      <c r="E918" t="str">
        <f>""</f>
        <v/>
      </c>
      <c r="F918" t="str">
        <f>""</f>
        <v/>
      </c>
      <c r="G918" s="4">
        <v>428.42</v>
      </c>
      <c r="H918" t="str">
        <f t="shared" si="11"/>
        <v>CUST#2000172616</v>
      </c>
    </row>
    <row r="919" spans="1:8" x14ac:dyDescent="0.25">
      <c r="E919" t="str">
        <f>""</f>
        <v/>
      </c>
      <c r="F919" t="str">
        <f>""</f>
        <v/>
      </c>
      <c r="G919" s="4">
        <v>95.1</v>
      </c>
      <c r="H919" t="str">
        <f t="shared" si="11"/>
        <v>CUST#2000172616</v>
      </c>
    </row>
    <row r="920" spans="1:8" x14ac:dyDescent="0.25">
      <c r="E920" t="str">
        <f>""</f>
        <v/>
      </c>
      <c r="F920" t="str">
        <f>""</f>
        <v/>
      </c>
      <c r="G920" s="4">
        <v>303.86</v>
      </c>
      <c r="H920" t="str">
        <f t="shared" si="11"/>
        <v>CUST#2000172616</v>
      </c>
    </row>
    <row r="921" spans="1:8" x14ac:dyDescent="0.25">
      <c r="E921" t="str">
        <f>""</f>
        <v/>
      </c>
      <c r="F921" t="str">
        <f>""</f>
        <v/>
      </c>
      <c r="G921" s="4">
        <v>543.30999999999995</v>
      </c>
      <c r="H921" t="str">
        <f t="shared" si="11"/>
        <v>CUST#2000172616</v>
      </c>
    </row>
    <row r="922" spans="1:8" x14ac:dyDescent="0.25">
      <c r="E922" t="str">
        <f>""</f>
        <v/>
      </c>
      <c r="F922" t="str">
        <f>""</f>
        <v/>
      </c>
      <c r="G922" s="4">
        <v>249.26</v>
      </c>
      <c r="H922" t="str">
        <f t="shared" si="11"/>
        <v>CUST#2000172616</v>
      </c>
    </row>
    <row r="923" spans="1:8" x14ac:dyDescent="0.25">
      <c r="E923" t="str">
        <f>""</f>
        <v/>
      </c>
      <c r="F923" t="str">
        <f>""</f>
        <v/>
      </c>
      <c r="G923" s="4">
        <v>201</v>
      </c>
      <c r="H923" t="str">
        <f t="shared" si="11"/>
        <v>CUST#2000172616</v>
      </c>
    </row>
    <row r="924" spans="1:8" x14ac:dyDescent="0.25">
      <c r="E924" t="str">
        <f>""</f>
        <v/>
      </c>
      <c r="F924" t="str">
        <f>""</f>
        <v/>
      </c>
      <c r="G924" s="4">
        <v>80.28</v>
      </c>
      <c r="H924" t="str">
        <f t="shared" si="11"/>
        <v>CUST#2000172616</v>
      </c>
    </row>
    <row r="925" spans="1:8" x14ac:dyDescent="0.25">
      <c r="E925" t="str">
        <f>""</f>
        <v/>
      </c>
      <c r="F925" t="str">
        <f>""</f>
        <v/>
      </c>
      <c r="G925" s="4">
        <v>220.09</v>
      </c>
      <c r="H925" t="str">
        <f t="shared" si="11"/>
        <v>CUST#2000172616</v>
      </c>
    </row>
    <row r="926" spans="1:8" x14ac:dyDescent="0.25">
      <c r="E926" t="str">
        <f>""</f>
        <v/>
      </c>
      <c r="F926" t="str">
        <f>""</f>
        <v/>
      </c>
      <c r="G926" s="4">
        <v>525.66</v>
      </c>
      <c r="H926" t="str">
        <f t="shared" si="11"/>
        <v>CUST#2000172616</v>
      </c>
    </row>
    <row r="927" spans="1:8" x14ac:dyDescent="0.25">
      <c r="E927" t="str">
        <f>""</f>
        <v/>
      </c>
      <c r="F927" t="str">
        <f>""</f>
        <v/>
      </c>
      <c r="G927" s="4">
        <v>249.26</v>
      </c>
      <c r="H927" t="str">
        <f t="shared" si="11"/>
        <v>CUST#2000172616</v>
      </c>
    </row>
    <row r="928" spans="1:8" x14ac:dyDescent="0.25">
      <c r="E928" t="str">
        <f>""</f>
        <v/>
      </c>
      <c r="F928" t="str">
        <f>""</f>
        <v/>
      </c>
      <c r="G928" s="4">
        <v>249.26</v>
      </c>
      <c r="H928" t="str">
        <f t="shared" si="11"/>
        <v>CUST#2000172616</v>
      </c>
    </row>
    <row r="929" spans="5:8" x14ac:dyDescent="0.25">
      <c r="E929" t="str">
        <f>""</f>
        <v/>
      </c>
      <c r="F929" t="str">
        <f>""</f>
        <v/>
      </c>
      <c r="G929" s="4">
        <v>119.57</v>
      </c>
      <c r="H929" t="str">
        <f t="shared" si="11"/>
        <v>CUST#2000172616</v>
      </c>
    </row>
    <row r="930" spans="5:8" x14ac:dyDescent="0.25">
      <c r="E930" t="str">
        <f>""</f>
        <v/>
      </c>
      <c r="F930" t="str">
        <f>""</f>
        <v/>
      </c>
      <c r="G930" s="4">
        <v>338.84</v>
      </c>
      <c r="H930" t="str">
        <f t="shared" si="11"/>
        <v>CUST#2000172616</v>
      </c>
    </row>
    <row r="931" spans="5:8" x14ac:dyDescent="0.25">
      <c r="E931" t="str">
        <f>""</f>
        <v/>
      </c>
      <c r="F931" t="str">
        <f>""</f>
        <v/>
      </c>
      <c r="G931" s="4">
        <v>78.540000000000006</v>
      </c>
      <c r="H931" t="str">
        <f t="shared" si="11"/>
        <v>CUST#2000172616</v>
      </c>
    </row>
    <row r="932" spans="5:8" x14ac:dyDescent="0.25">
      <c r="E932" t="str">
        <f>""</f>
        <v/>
      </c>
      <c r="F932" t="str">
        <f>""</f>
        <v/>
      </c>
      <c r="G932" s="4">
        <v>249.26</v>
      </c>
      <c r="H932" t="str">
        <f t="shared" si="11"/>
        <v>CUST#2000172616</v>
      </c>
    </row>
    <row r="933" spans="5:8" x14ac:dyDescent="0.25">
      <c r="E933" t="str">
        <f>""</f>
        <v/>
      </c>
      <c r="F933" t="str">
        <f>""</f>
        <v/>
      </c>
      <c r="G933" s="4">
        <v>139.51</v>
      </c>
      <c r="H933" t="str">
        <f t="shared" si="11"/>
        <v>CUST#2000172616</v>
      </c>
    </row>
    <row r="934" spans="5:8" x14ac:dyDescent="0.25">
      <c r="E934" t="str">
        <f>""</f>
        <v/>
      </c>
      <c r="F934" t="str">
        <f>""</f>
        <v/>
      </c>
      <c r="G934" s="4">
        <v>303.86</v>
      </c>
      <c r="H934" t="str">
        <f t="shared" si="11"/>
        <v>CUST#2000172616</v>
      </c>
    </row>
    <row r="935" spans="5:8" x14ac:dyDescent="0.25">
      <c r="E935" t="str">
        <f>""</f>
        <v/>
      </c>
      <c r="F935" t="str">
        <f>""</f>
        <v/>
      </c>
      <c r="G935" s="4">
        <v>1267.82</v>
      </c>
      <c r="H935" t="str">
        <f t="shared" si="11"/>
        <v>CUST#2000172616</v>
      </c>
    </row>
    <row r="936" spans="5:8" x14ac:dyDescent="0.25">
      <c r="E936" t="str">
        <f>""</f>
        <v/>
      </c>
      <c r="F936" t="str">
        <f>""</f>
        <v/>
      </c>
      <c r="G936" s="4">
        <v>1244.07</v>
      </c>
      <c r="H936" t="str">
        <f t="shared" si="11"/>
        <v>CUST#2000172616</v>
      </c>
    </row>
    <row r="937" spans="5:8" x14ac:dyDescent="0.25">
      <c r="E937" t="str">
        <f>""</f>
        <v/>
      </c>
      <c r="F937" t="str">
        <f>""</f>
        <v/>
      </c>
      <c r="G937" s="4">
        <v>334.08</v>
      </c>
      <c r="H937" t="str">
        <f t="shared" si="11"/>
        <v>CUST#2000172616</v>
      </c>
    </row>
    <row r="938" spans="5:8" x14ac:dyDescent="0.25">
      <c r="E938" t="str">
        <f>""</f>
        <v/>
      </c>
      <c r="F938" t="str">
        <f>""</f>
        <v/>
      </c>
      <c r="G938" s="4">
        <v>303.86</v>
      </c>
      <c r="H938" t="str">
        <f t="shared" si="11"/>
        <v>CUST#2000172616</v>
      </c>
    </row>
    <row r="939" spans="5:8" x14ac:dyDescent="0.25">
      <c r="E939" t="str">
        <f>""</f>
        <v/>
      </c>
      <c r="F939" t="str">
        <f>""</f>
        <v/>
      </c>
      <c r="G939" s="4">
        <v>303.86</v>
      </c>
      <c r="H939" t="str">
        <f t="shared" si="11"/>
        <v>CUST#2000172616</v>
      </c>
    </row>
    <row r="940" spans="5:8" x14ac:dyDescent="0.25">
      <c r="E940" t="str">
        <f>""</f>
        <v/>
      </c>
      <c r="F940" t="str">
        <f>""</f>
        <v/>
      </c>
      <c r="G940" s="4">
        <v>101.5</v>
      </c>
      <c r="H940" t="str">
        <f t="shared" si="11"/>
        <v>CUST#2000172616</v>
      </c>
    </row>
    <row r="941" spans="5:8" x14ac:dyDescent="0.25">
      <c r="E941" t="str">
        <f>""</f>
        <v/>
      </c>
      <c r="F941" t="str">
        <f>""</f>
        <v/>
      </c>
      <c r="G941" s="4">
        <v>303.86</v>
      </c>
      <c r="H941" t="str">
        <f t="shared" si="11"/>
        <v>CUST#2000172616</v>
      </c>
    </row>
    <row r="942" spans="5:8" x14ac:dyDescent="0.25">
      <c r="E942" t="str">
        <f>""</f>
        <v/>
      </c>
      <c r="F942" t="str">
        <f>""</f>
        <v/>
      </c>
      <c r="G942" s="4">
        <v>70.58</v>
      </c>
      <c r="H942" t="str">
        <f t="shared" si="11"/>
        <v>CUST#2000172616</v>
      </c>
    </row>
    <row r="943" spans="5:8" x14ac:dyDescent="0.25">
      <c r="E943" t="str">
        <f>""</f>
        <v/>
      </c>
      <c r="F943" t="str">
        <f>""</f>
        <v/>
      </c>
      <c r="G943" s="4">
        <v>70.58</v>
      </c>
      <c r="H943" t="str">
        <f t="shared" si="11"/>
        <v>CUST#2000172616</v>
      </c>
    </row>
    <row r="944" spans="5:8" x14ac:dyDescent="0.25">
      <c r="E944" t="str">
        <f>""</f>
        <v/>
      </c>
      <c r="F944" t="str">
        <f>""</f>
        <v/>
      </c>
      <c r="G944" s="4">
        <v>70.58</v>
      </c>
      <c r="H944" t="str">
        <f t="shared" si="11"/>
        <v>CUST#2000172616</v>
      </c>
    </row>
    <row r="945" spans="1:8" x14ac:dyDescent="0.25">
      <c r="A945" t="s">
        <v>301</v>
      </c>
      <c r="B945">
        <v>138285</v>
      </c>
      <c r="C945" s="4">
        <v>445.5</v>
      </c>
      <c r="D945" s="1">
        <v>44543</v>
      </c>
      <c r="E945" t="str">
        <f>"9999992097940"</f>
        <v>9999992097940</v>
      </c>
      <c r="F945" t="str">
        <f>"SHIP ORD#3329598701/ANIMAL SVC"</f>
        <v>SHIP ORD#3329598701/ANIMAL SVC</v>
      </c>
      <c r="G945" s="4">
        <v>445.5</v>
      </c>
      <c r="H945" t="str">
        <f>"SHIP ORD#3329598701/ANIMAL SVC"</f>
        <v>SHIP ORD#3329598701/ANIMAL SVC</v>
      </c>
    </row>
    <row r="946" spans="1:8" x14ac:dyDescent="0.25">
      <c r="A946" t="s">
        <v>302</v>
      </c>
      <c r="B946">
        <v>5573</v>
      </c>
      <c r="C946" s="4">
        <v>600</v>
      </c>
      <c r="D946" s="1">
        <v>44558</v>
      </c>
      <c r="E946" t="str">
        <f>"BCSONOV21"</f>
        <v>BCSONOV21</v>
      </c>
      <c r="F946" t="str">
        <f>"INV BCSONOV21"</f>
        <v>INV BCSONOV21</v>
      </c>
      <c r="G946" s="4">
        <v>600</v>
      </c>
      <c r="H946" t="str">
        <f>"INV BCSONOV21"</f>
        <v>INV BCSONOV21</v>
      </c>
    </row>
    <row r="947" spans="1:8" x14ac:dyDescent="0.25">
      <c r="A947" t="s">
        <v>303</v>
      </c>
      <c r="B947">
        <v>138286</v>
      </c>
      <c r="C947" s="4">
        <v>5</v>
      </c>
      <c r="D947" s="1">
        <v>44543</v>
      </c>
      <c r="E947" t="str">
        <f>"202111297432"</f>
        <v>202111297432</v>
      </c>
      <c r="F947" t="str">
        <f>"FERAL HOGS"</f>
        <v>FERAL HOGS</v>
      </c>
      <c r="G947" s="4">
        <v>5</v>
      </c>
      <c r="H947" t="str">
        <f>"FERAL HOGS"</f>
        <v>FERAL HOGS</v>
      </c>
    </row>
    <row r="948" spans="1:8" x14ac:dyDescent="0.25">
      <c r="A948" t="s">
        <v>304</v>
      </c>
      <c r="B948">
        <v>138454</v>
      </c>
      <c r="C948" s="4">
        <v>2331.81</v>
      </c>
      <c r="D948" s="1">
        <v>44557</v>
      </c>
      <c r="E948" t="str">
        <f>"5516892  5525319"</f>
        <v>5516892  5525319</v>
      </c>
      <c r="F948" t="str">
        <f>"INV 5516892  5525319"</f>
        <v>INV 5516892  5525319</v>
      </c>
      <c r="G948" s="4">
        <v>1100.32</v>
      </c>
      <c r="H948" t="str">
        <f>"INV 5516892"</f>
        <v>INV 5516892</v>
      </c>
    </row>
    <row r="949" spans="1:8" x14ac:dyDescent="0.25">
      <c r="E949" t="str">
        <f>""</f>
        <v/>
      </c>
      <c r="F949" t="str">
        <f>""</f>
        <v/>
      </c>
      <c r="G949" s="4">
        <v>1231.49</v>
      </c>
      <c r="H949" t="str">
        <f>"INV 5525319"</f>
        <v>INV 5525319</v>
      </c>
    </row>
    <row r="950" spans="1:8" x14ac:dyDescent="0.25">
      <c r="A950" t="s">
        <v>305</v>
      </c>
      <c r="B950">
        <v>138287</v>
      </c>
      <c r="C950" s="4">
        <v>61.35</v>
      </c>
      <c r="D950" s="1">
        <v>44543</v>
      </c>
      <c r="E950" t="str">
        <f>"202111307492"</f>
        <v>202111307492</v>
      </c>
      <c r="F950" t="str">
        <f>"REIMBURSEMENT - LICENSE RENWL"</f>
        <v>REIMBURSEMENT - LICENSE RENWL</v>
      </c>
      <c r="G950" s="4">
        <v>61.35</v>
      </c>
      <c r="H950" t="str">
        <f>"REIMBURSEMENT - LICENSE RENWL"</f>
        <v>REIMBURSEMENT - LICENSE RENWL</v>
      </c>
    </row>
    <row r="951" spans="1:8" x14ac:dyDescent="0.25">
      <c r="A951" t="s">
        <v>306</v>
      </c>
      <c r="B951">
        <v>5577</v>
      </c>
      <c r="C951" s="4">
        <v>1200</v>
      </c>
      <c r="D951" s="1">
        <v>44558</v>
      </c>
      <c r="E951" t="str">
        <f>"WA 2982-2021"</f>
        <v>WA 2982-2021</v>
      </c>
      <c r="F951" t="str">
        <f>"SURVEY / PCT #3"</f>
        <v>SURVEY / PCT #3</v>
      </c>
      <c r="G951" s="4">
        <v>1200</v>
      </c>
      <c r="H951" t="str">
        <f>"SURVEY / PCT #3"</f>
        <v>SURVEY / PCT #3</v>
      </c>
    </row>
    <row r="952" spans="1:8" x14ac:dyDescent="0.25">
      <c r="A952" t="s">
        <v>307</v>
      </c>
      <c r="B952">
        <v>138288</v>
      </c>
      <c r="C952" s="4">
        <v>150</v>
      </c>
      <c r="D952" s="1">
        <v>44543</v>
      </c>
      <c r="E952" t="str">
        <f>"202111297431"</f>
        <v>202111297431</v>
      </c>
      <c r="F952" t="str">
        <f>"FERAL HOGS"</f>
        <v>FERAL HOGS</v>
      </c>
      <c r="G952" s="4">
        <v>150</v>
      </c>
      <c r="H952" t="str">
        <f>"FERAL HOGS"</f>
        <v>FERAL HOGS</v>
      </c>
    </row>
    <row r="953" spans="1:8" x14ac:dyDescent="0.25">
      <c r="A953" t="s">
        <v>308</v>
      </c>
      <c r="B953">
        <v>138289</v>
      </c>
      <c r="C953" s="4">
        <v>120</v>
      </c>
      <c r="D953" s="1">
        <v>44543</v>
      </c>
      <c r="E953" t="str">
        <f>"202111297430"</f>
        <v>202111297430</v>
      </c>
      <c r="F953" t="str">
        <f>"FERAL HOGS"</f>
        <v>FERAL HOGS</v>
      </c>
      <c r="G953" s="4">
        <v>120</v>
      </c>
      <c r="H953" t="str">
        <f>"FERAL HOGS"</f>
        <v>FERAL HOGS</v>
      </c>
    </row>
    <row r="954" spans="1:8" x14ac:dyDescent="0.25">
      <c r="A954" t="s">
        <v>309</v>
      </c>
      <c r="B954">
        <v>138455</v>
      </c>
      <c r="C954" s="4">
        <v>135</v>
      </c>
      <c r="D954" s="1">
        <v>44557</v>
      </c>
      <c r="E954" t="str">
        <f>"202112197875"</f>
        <v>202112197875</v>
      </c>
      <c r="F954" t="str">
        <f>"PER DIEM"</f>
        <v>PER DIEM</v>
      </c>
      <c r="G954" s="4">
        <v>135</v>
      </c>
      <c r="H954" t="str">
        <f>"PER DIEM"</f>
        <v>PER DIEM</v>
      </c>
    </row>
    <row r="955" spans="1:8" x14ac:dyDescent="0.25">
      <c r="A955" t="s">
        <v>310</v>
      </c>
      <c r="B955">
        <v>138456</v>
      </c>
      <c r="C955" s="4">
        <v>234.22</v>
      </c>
      <c r="D955" s="1">
        <v>44557</v>
      </c>
      <c r="E955" t="str">
        <f>"202112167818"</f>
        <v>202112167818</v>
      </c>
      <c r="F955" t="str">
        <f>"21-111/21-112"</f>
        <v>21-111/21-112</v>
      </c>
      <c r="G955" s="4">
        <v>234.22</v>
      </c>
      <c r="H955" t="str">
        <f>"21-111/21-112"</f>
        <v>21-111/21-112</v>
      </c>
    </row>
    <row r="956" spans="1:8" x14ac:dyDescent="0.25">
      <c r="A956" t="s">
        <v>311</v>
      </c>
      <c r="B956">
        <v>138292</v>
      </c>
      <c r="C956" s="4">
        <v>409.86</v>
      </c>
      <c r="D956" s="1">
        <v>44543</v>
      </c>
      <c r="E956" t="str">
        <f>"3700"</f>
        <v>3700</v>
      </c>
      <c r="F956" t="str">
        <f>"INV 3700"</f>
        <v>INV 3700</v>
      </c>
      <c r="G956" s="4">
        <v>409.86</v>
      </c>
      <c r="H956" t="str">
        <f>"INV 3700"</f>
        <v>INV 3700</v>
      </c>
    </row>
    <row r="957" spans="1:8" x14ac:dyDescent="0.25">
      <c r="A957" t="s">
        <v>312</v>
      </c>
      <c r="B957">
        <v>138457</v>
      </c>
      <c r="C957" s="4">
        <v>540</v>
      </c>
      <c r="D957" s="1">
        <v>44557</v>
      </c>
      <c r="E957" t="str">
        <f>"202112197878"</f>
        <v>202112197878</v>
      </c>
      <c r="F957" t="str">
        <f>"REGISTRATION"</f>
        <v>REGISTRATION</v>
      </c>
      <c r="G957" s="4">
        <v>270</v>
      </c>
      <c r="H957" t="str">
        <f>"REGISTRATION"</f>
        <v>REGISTRATION</v>
      </c>
    </row>
    <row r="958" spans="1:8" x14ac:dyDescent="0.25">
      <c r="E958" t="str">
        <f>"202112197880"</f>
        <v>202112197880</v>
      </c>
      <c r="F958" t="str">
        <f>"REGISTRATION"</f>
        <v>REGISTRATION</v>
      </c>
      <c r="G958" s="4">
        <v>270</v>
      </c>
      <c r="H958" t="str">
        <f>"REGISTRATION"</f>
        <v>REGISTRATION</v>
      </c>
    </row>
    <row r="959" spans="1:8" x14ac:dyDescent="0.25">
      <c r="A959" t="s">
        <v>313</v>
      </c>
      <c r="B959">
        <v>5596</v>
      </c>
      <c r="C959" s="4">
        <v>55.84</v>
      </c>
      <c r="D959" s="1">
        <v>44558</v>
      </c>
      <c r="E959" t="str">
        <f>"202112207939"</f>
        <v>202112207939</v>
      </c>
      <c r="F959" t="str">
        <f>"INDIGENT HEALTH"</f>
        <v>INDIGENT HEALTH</v>
      </c>
      <c r="G959" s="4">
        <v>55.84</v>
      </c>
      <c r="H959" t="str">
        <f>"INDIGENT HEALTH"</f>
        <v>INDIGENT HEALTH</v>
      </c>
    </row>
    <row r="960" spans="1:8" x14ac:dyDescent="0.25">
      <c r="A960" t="s">
        <v>314</v>
      </c>
      <c r="B960">
        <v>5491</v>
      </c>
      <c r="C960" s="4">
        <v>11638</v>
      </c>
      <c r="D960" s="1">
        <v>44544</v>
      </c>
      <c r="E960" t="str">
        <f>"PPDINV0016863"</f>
        <v>PPDINV0016863</v>
      </c>
      <c r="F960" t="str">
        <f>"INV PPDINV0016863"</f>
        <v>INV PPDINV0016863</v>
      </c>
      <c r="G960" s="4">
        <v>11638</v>
      </c>
      <c r="H960" t="str">
        <f>"INV PPDINV0016863"</f>
        <v>INV PPDINV0016863</v>
      </c>
    </row>
    <row r="961" spans="1:8" x14ac:dyDescent="0.25">
      <c r="A961" t="s">
        <v>315</v>
      </c>
      <c r="B961">
        <v>138293</v>
      </c>
      <c r="C961" s="4">
        <v>3000</v>
      </c>
      <c r="D961" s="1">
        <v>44543</v>
      </c>
      <c r="E961" t="str">
        <f>"202111307489"</f>
        <v>202111307489</v>
      </c>
      <c r="F961" t="str">
        <f>"GRANT FUNDS FY21-22"</f>
        <v>GRANT FUNDS FY21-22</v>
      </c>
      <c r="G961" s="4">
        <v>3000</v>
      </c>
      <c r="H961" t="str">
        <f>"GRANT FUNDS FY21-22"</f>
        <v>GRANT FUNDS FY21-22</v>
      </c>
    </row>
    <row r="962" spans="1:8" x14ac:dyDescent="0.25">
      <c r="A962" t="s">
        <v>123</v>
      </c>
      <c r="B962">
        <v>138294</v>
      </c>
      <c r="C962" s="4">
        <v>9887.7900000000009</v>
      </c>
      <c r="D962" s="1">
        <v>44543</v>
      </c>
      <c r="E962" t="str">
        <f>"4856*33*1"</f>
        <v>4856*33*1</v>
      </c>
      <c r="F962" t="str">
        <f>"JAIL MEDICAL"</f>
        <v>JAIL MEDICAL</v>
      </c>
      <c r="G962" s="4">
        <v>9887.7900000000009</v>
      </c>
      <c r="H962" t="str">
        <f>"JAIL MEDICAL"</f>
        <v>JAIL MEDICAL</v>
      </c>
    </row>
    <row r="963" spans="1:8" x14ac:dyDescent="0.25">
      <c r="A963" t="s">
        <v>123</v>
      </c>
      <c r="B963">
        <v>138458</v>
      </c>
      <c r="C963" s="4">
        <v>809.77</v>
      </c>
      <c r="D963" s="1">
        <v>44557</v>
      </c>
      <c r="E963" t="str">
        <f>"202112207945"</f>
        <v>202112207945</v>
      </c>
      <c r="F963" t="str">
        <f>"INDIGENT HEALTH"</f>
        <v>INDIGENT HEALTH</v>
      </c>
      <c r="G963" s="4">
        <v>730.55</v>
      </c>
      <c r="H963" t="str">
        <f>"INDIGENT HEALTH"</f>
        <v>INDIGENT HEALTH</v>
      </c>
    </row>
    <row r="964" spans="1:8" x14ac:dyDescent="0.25">
      <c r="E964" t="str">
        <f>"202112207946"</f>
        <v>202112207946</v>
      </c>
      <c r="F964" t="str">
        <f>"INDIGENT HEALTH"</f>
        <v>INDIGENT HEALTH</v>
      </c>
      <c r="G964" s="4">
        <v>79.22</v>
      </c>
      <c r="H964" t="str">
        <f>"INDIGENT HEALTH"</f>
        <v>INDIGENT HEALTH</v>
      </c>
    </row>
    <row r="965" spans="1:8" x14ac:dyDescent="0.25">
      <c r="A965" t="s">
        <v>316</v>
      </c>
      <c r="B965">
        <v>138459</v>
      </c>
      <c r="C965" s="4">
        <v>15801.12</v>
      </c>
      <c r="D965" s="1">
        <v>44557</v>
      </c>
      <c r="E965" t="str">
        <f>"121321"</f>
        <v>121321</v>
      </c>
      <c r="F965" t="str">
        <f>"SETON RX ASSISTANCE"</f>
        <v>SETON RX ASSISTANCE</v>
      </c>
      <c r="G965" s="4">
        <v>3400</v>
      </c>
      <c r="H965" t="str">
        <f>"SETON RX ASSISTANCE"</f>
        <v>SETON RX ASSISTANCE</v>
      </c>
    </row>
    <row r="966" spans="1:8" x14ac:dyDescent="0.25">
      <c r="E966" t="str">
        <f>"202112207934"</f>
        <v>202112207934</v>
      </c>
      <c r="F966" t="str">
        <f>"INDIGENT HEALTH"</f>
        <v>INDIGENT HEALTH</v>
      </c>
      <c r="G966" s="4">
        <v>12401.12</v>
      </c>
      <c r="H966" t="str">
        <f>"INDIGENT HEALTH"</f>
        <v>INDIGENT HEALTH</v>
      </c>
    </row>
    <row r="967" spans="1:8" x14ac:dyDescent="0.25">
      <c r="A967" t="s">
        <v>317</v>
      </c>
      <c r="B967">
        <v>138295</v>
      </c>
      <c r="C967" s="4">
        <v>50</v>
      </c>
      <c r="D967" s="1">
        <v>44543</v>
      </c>
      <c r="E967" t="s">
        <v>318</v>
      </c>
      <c r="F967" s="4" t="str">
        <f>"RESTITUTION - DEBRA MCCOMB"</f>
        <v>RESTITUTION - DEBRA MCCOMB</v>
      </c>
      <c r="G967" s="4">
        <v>50</v>
      </c>
      <c r="H967" t="str">
        <f>"RESTITUTION - DEBRA MCCOMB"</f>
        <v>RESTITUTION - DEBRA MCCOMB</v>
      </c>
    </row>
    <row r="968" spans="1:8" x14ac:dyDescent="0.25">
      <c r="A968" t="s">
        <v>319</v>
      </c>
      <c r="B968">
        <v>138296</v>
      </c>
      <c r="C968" s="4">
        <v>190</v>
      </c>
      <c r="D968" s="1">
        <v>44543</v>
      </c>
      <c r="E968" t="str">
        <f>"202111297429"</f>
        <v>202111297429</v>
      </c>
      <c r="F968" t="str">
        <f>"FERAL HOGS"</f>
        <v>FERAL HOGS</v>
      </c>
      <c r="G968" s="4">
        <v>190</v>
      </c>
      <c r="H968" t="str">
        <f>"FERAL HOGS"</f>
        <v>FERAL HOGS</v>
      </c>
    </row>
    <row r="969" spans="1:8" x14ac:dyDescent="0.25">
      <c r="A969" t="s">
        <v>320</v>
      </c>
      <c r="B969">
        <v>138297</v>
      </c>
      <c r="C969" s="4">
        <v>318.60000000000002</v>
      </c>
      <c r="D969" s="1">
        <v>44543</v>
      </c>
      <c r="E969" t="str">
        <f>"GB00437192"</f>
        <v>GB00437192</v>
      </c>
      <c r="F969" t="str">
        <f>"WEBEX DEVICE CLOUD"</f>
        <v>WEBEX DEVICE CLOUD</v>
      </c>
      <c r="G969" s="4">
        <v>318.60000000000002</v>
      </c>
      <c r="H969" t="str">
        <f>"WEBEX DEVICE CLOUD"</f>
        <v>WEBEX DEVICE CLOUD</v>
      </c>
    </row>
    <row r="970" spans="1:8" x14ac:dyDescent="0.25">
      <c r="A970" t="s">
        <v>320</v>
      </c>
      <c r="B970">
        <v>138460</v>
      </c>
      <c r="C970" s="4">
        <v>1308</v>
      </c>
      <c r="D970" s="1">
        <v>44557</v>
      </c>
      <c r="E970" t="str">
        <f>"202112197904"</f>
        <v>202112197904</v>
      </c>
      <c r="F970" t="str">
        <f>"DRONE SAR COMMAND"</f>
        <v>DRONE SAR COMMAND</v>
      </c>
      <c r="G970" s="4">
        <v>1308</v>
      </c>
      <c r="H970" t="str">
        <f>"DRONE SARCOMMAND"</f>
        <v>DRONE SARCOMMAND</v>
      </c>
    </row>
    <row r="971" spans="1:8" x14ac:dyDescent="0.25">
      <c r="A971" t="s">
        <v>321</v>
      </c>
      <c r="B971">
        <v>138298</v>
      </c>
      <c r="C971" s="4">
        <v>116.16</v>
      </c>
      <c r="D971" s="1">
        <v>44543</v>
      </c>
      <c r="E971" t="str">
        <f>"1393495"</f>
        <v>1393495</v>
      </c>
      <c r="F971" t="str">
        <f>"ACCT#550615/PCT#4"</f>
        <v>ACCT#550615/PCT#4</v>
      </c>
      <c r="G971" s="4">
        <v>55.66</v>
      </c>
      <c r="H971" t="str">
        <f>"ACCT#550615/PCT#4"</f>
        <v>ACCT#550615/PCT#4</v>
      </c>
    </row>
    <row r="972" spans="1:8" x14ac:dyDescent="0.25">
      <c r="E972" t="str">
        <f>"1394025"</f>
        <v>1394025</v>
      </c>
      <c r="F972" t="str">
        <f>"ACCT#550615/PCT#4"</f>
        <v>ACCT#550615/PCT#4</v>
      </c>
      <c r="G972" s="4">
        <v>60.5</v>
      </c>
      <c r="H972" t="str">
        <f>"ACCT#550615/PCT#4"</f>
        <v>ACCT#550615/PCT#4</v>
      </c>
    </row>
    <row r="973" spans="1:8" x14ac:dyDescent="0.25">
      <c r="A973" t="s">
        <v>321</v>
      </c>
      <c r="B973">
        <v>138461</v>
      </c>
      <c r="C973" s="4">
        <v>1943.09</v>
      </c>
      <c r="D973" s="1">
        <v>44557</v>
      </c>
      <c r="E973" t="str">
        <f>"1390208"</f>
        <v>1390208</v>
      </c>
      <c r="F973" t="str">
        <f>"PARTS / PCT #2"</f>
        <v>PARTS / PCT #2</v>
      </c>
      <c r="G973" s="4">
        <v>745.06</v>
      </c>
      <c r="H973" t="str">
        <f>"PARTS / PCT #2"</f>
        <v>PARTS / PCT #2</v>
      </c>
    </row>
    <row r="974" spans="1:8" x14ac:dyDescent="0.25">
      <c r="E974" t="str">
        <f>"1395899"</f>
        <v>1395899</v>
      </c>
      <c r="F974" t="str">
        <f>"ACCT#550615/PCT#4"</f>
        <v>ACCT#550615/PCT#4</v>
      </c>
      <c r="G974" s="4">
        <v>106.77</v>
      </c>
      <c r="H974" t="str">
        <f>"ACCT#550615/PCT#4"</f>
        <v>ACCT#550615/PCT#4</v>
      </c>
    </row>
    <row r="975" spans="1:8" x14ac:dyDescent="0.25">
      <c r="E975" t="str">
        <f>"202112177860"</f>
        <v>202112177860</v>
      </c>
      <c r="F975" t="str">
        <f>"ACCT#564591/WORK ORD#210032"</f>
        <v>ACCT#564591/WORK ORD#210032</v>
      </c>
      <c r="G975" s="4">
        <v>1091.26</v>
      </c>
      <c r="H975" t="str">
        <f>"ACCT#564591"</f>
        <v>ACCT#564591</v>
      </c>
    </row>
    <row r="976" spans="1:8" x14ac:dyDescent="0.25">
      <c r="A976" t="s">
        <v>322</v>
      </c>
      <c r="B976">
        <v>138299</v>
      </c>
      <c r="C976" s="4">
        <v>74.14</v>
      </c>
      <c r="D976" s="1">
        <v>44543</v>
      </c>
      <c r="E976" t="str">
        <f>"8000507932"</f>
        <v>8000507932</v>
      </c>
      <c r="F976" t="str">
        <f>"CUST#1000374545/1125 DILDY"</f>
        <v>CUST#1000374545/1125 DILDY</v>
      </c>
      <c r="G976" s="4">
        <v>74.14</v>
      </c>
      <c r="H976" t="str">
        <f>"CUST#1000374545/1125 DILDY"</f>
        <v>CUST#1000374545/1125 DILDY</v>
      </c>
    </row>
    <row r="977" spans="1:8" x14ac:dyDescent="0.25">
      <c r="A977" t="s">
        <v>322</v>
      </c>
      <c r="B977">
        <v>138462</v>
      </c>
      <c r="C977" s="4">
        <v>726.05</v>
      </c>
      <c r="D977" s="1">
        <v>44557</v>
      </c>
      <c r="E977" t="str">
        <f>"8000331431"</f>
        <v>8000331431</v>
      </c>
      <c r="F977" t="str">
        <f>"CUST#1000374834 / INDIGENT/VET"</f>
        <v>CUST#1000374834 / INDIGENT/VET</v>
      </c>
      <c r="G977" s="4">
        <v>39.520000000000003</v>
      </c>
      <c r="H977" t="str">
        <f>"CUST#1000374834 / INDIGENT/VET"</f>
        <v>CUST#1000374834 / INDIGENT/VET</v>
      </c>
    </row>
    <row r="978" spans="1:8" x14ac:dyDescent="0.25">
      <c r="E978" t="str">
        <f>""</f>
        <v/>
      </c>
      <c r="F978" t="str">
        <f>""</f>
        <v/>
      </c>
      <c r="G978" s="4">
        <v>39.520000000000003</v>
      </c>
      <c r="H978" t="str">
        <f>"CUST#1000374834 / INDIGENT/VET"</f>
        <v>CUST#1000374834 / INDIGENT/VET</v>
      </c>
    </row>
    <row r="979" spans="1:8" x14ac:dyDescent="0.25">
      <c r="E979" t="str">
        <f>"8000376230  540902"</f>
        <v>8000376230  540902</v>
      </c>
      <c r="F979" t="str">
        <f>"CUST#3000355513/PURCH/DVLPMT"</f>
        <v>CUST#3000355513/PURCH/DVLPMT</v>
      </c>
      <c r="G979" s="4">
        <v>44.44</v>
      </c>
      <c r="H979" t="str">
        <f t="shared" ref="H979:H985" si="12">"CUST#3000355513/PURCH/DVLPMT"</f>
        <v>CUST#3000355513/PURCH/DVLPMT</v>
      </c>
    </row>
    <row r="980" spans="1:8" x14ac:dyDescent="0.25">
      <c r="E980" t="str">
        <f>""</f>
        <v/>
      </c>
      <c r="F980" t="str">
        <f>""</f>
        <v/>
      </c>
      <c r="G980" s="4">
        <v>44.44</v>
      </c>
      <c r="H980" t="str">
        <f t="shared" si="12"/>
        <v>CUST#3000355513/PURCH/DVLPMT</v>
      </c>
    </row>
    <row r="981" spans="1:8" x14ac:dyDescent="0.25">
      <c r="E981" t="str">
        <f>""</f>
        <v/>
      </c>
      <c r="F981" t="str">
        <f>""</f>
        <v/>
      </c>
      <c r="G981" s="4">
        <v>44.44</v>
      </c>
      <c r="H981" t="str">
        <f t="shared" si="12"/>
        <v>CUST#3000355513/PURCH/DVLPMT</v>
      </c>
    </row>
    <row r="982" spans="1:8" x14ac:dyDescent="0.25">
      <c r="E982" t="str">
        <f>""</f>
        <v/>
      </c>
      <c r="F982" t="str">
        <f>""</f>
        <v/>
      </c>
      <c r="G982" s="4">
        <v>74.08</v>
      </c>
      <c r="H982" t="str">
        <f t="shared" si="12"/>
        <v>CUST#3000355513/PURCH/DVLPMT</v>
      </c>
    </row>
    <row r="983" spans="1:8" x14ac:dyDescent="0.25">
      <c r="E983" t="str">
        <f>""</f>
        <v/>
      </c>
      <c r="F983" t="str">
        <f>""</f>
        <v/>
      </c>
      <c r="G983" s="4">
        <v>44.44</v>
      </c>
      <c r="H983" t="str">
        <f t="shared" si="12"/>
        <v>CUST#3000355513/PURCH/DVLPMT</v>
      </c>
    </row>
    <row r="984" spans="1:8" x14ac:dyDescent="0.25">
      <c r="E984" t="str">
        <f>""</f>
        <v/>
      </c>
      <c r="F984" t="str">
        <f>""</f>
        <v/>
      </c>
      <c r="G984" s="4">
        <v>44.44</v>
      </c>
      <c r="H984" t="str">
        <f t="shared" si="12"/>
        <v>CUST#3000355513/PURCH/DVLPMT</v>
      </c>
    </row>
    <row r="985" spans="1:8" x14ac:dyDescent="0.25">
      <c r="E985" t="str">
        <f>""</f>
        <v/>
      </c>
      <c r="F985" t="str">
        <f>""</f>
        <v/>
      </c>
      <c r="G985" s="4">
        <v>150.57</v>
      </c>
      <c r="H985" t="str">
        <f t="shared" si="12"/>
        <v>CUST#3000355513/PURCH/DVLPMT</v>
      </c>
    </row>
    <row r="986" spans="1:8" x14ac:dyDescent="0.25">
      <c r="E986" t="str">
        <f>"8000507735"</f>
        <v>8000507735</v>
      </c>
      <c r="F986" t="str">
        <f>"CUST#1000374050/IT &amp; OEM"</f>
        <v>CUST#1000374050/IT &amp; OEM</v>
      </c>
      <c r="G986" s="4">
        <v>54.01</v>
      </c>
      <c r="H986" t="str">
        <f>"CUST#1000374050/IT &amp; OEM"</f>
        <v>CUST#1000374050/IT &amp; OEM</v>
      </c>
    </row>
    <row r="987" spans="1:8" x14ac:dyDescent="0.25">
      <c r="E987" t="str">
        <f>""</f>
        <v/>
      </c>
      <c r="F987" t="str">
        <f>""</f>
        <v/>
      </c>
      <c r="G987" s="4">
        <v>54.02</v>
      </c>
      <c r="H987" t="str">
        <f>"CUST#1000374050/IT &amp; OEM"</f>
        <v>CUST#1000374050/IT &amp; OEM</v>
      </c>
    </row>
    <row r="988" spans="1:8" x14ac:dyDescent="0.25">
      <c r="E988" t="str">
        <f>"8000507868"</f>
        <v>8000507868</v>
      </c>
      <c r="F988" t="str">
        <f>"CUST#1000374390/TAX OFFICE"</f>
        <v>CUST#1000374390/TAX OFFICE</v>
      </c>
      <c r="G988" s="4">
        <v>92.13</v>
      </c>
      <c r="H988" t="str">
        <f>"CUST#1000374390/TAX OFFICE"</f>
        <v>CUST#1000374390/TAX OFFICE</v>
      </c>
    </row>
    <row r="989" spans="1:8" x14ac:dyDescent="0.25">
      <c r="A989" t="s">
        <v>323</v>
      </c>
      <c r="B989">
        <v>138463</v>
      </c>
      <c r="C989" s="4">
        <v>134.47</v>
      </c>
      <c r="D989" s="1">
        <v>44557</v>
      </c>
      <c r="E989" t="str">
        <f>"202112207947"</f>
        <v>202112207947</v>
      </c>
      <c r="F989" t="str">
        <f>"INDIGENT HEALTH"</f>
        <v>INDIGENT HEALTH</v>
      </c>
      <c r="G989" s="4">
        <v>134.47</v>
      </c>
      <c r="H989" t="str">
        <f>"INDIGENT HEALTH"</f>
        <v>INDIGENT HEALTH</v>
      </c>
    </row>
    <row r="990" spans="1:8" x14ac:dyDescent="0.25">
      <c r="A990" t="s">
        <v>324</v>
      </c>
      <c r="B990">
        <v>138300</v>
      </c>
      <c r="C990" s="4">
        <v>80.760000000000005</v>
      </c>
      <c r="D990" s="1">
        <v>44543</v>
      </c>
      <c r="E990" t="str">
        <f>"4856-146-3"</f>
        <v>4856-146-3</v>
      </c>
      <c r="F990" t="str">
        <f>"JAIL MEDICAL"</f>
        <v>JAIL MEDICAL</v>
      </c>
      <c r="G990" s="4">
        <v>80.760000000000005</v>
      </c>
      <c r="H990" t="str">
        <f>"JAIL MEDICAL"</f>
        <v>JAIL MEDICAL</v>
      </c>
    </row>
    <row r="991" spans="1:8" x14ac:dyDescent="0.25">
      <c r="A991" t="s">
        <v>325</v>
      </c>
      <c r="B991">
        <v>138301</v>
      </c>
      <c r="C991" s="4">
        <v>144.05000000000001</v>
      </c>
      <c r="D991" s="1">
        <v>44543</v>
      </c>
      <c r="E991" t="str">
        <f>"0521472-IN"</f>
        <v>0521472-IN</v>
      </c>
      <c r="F991" t="str">
        <f>"INV 0521472-IN"</f>
        <v>INV 0521472-IN</v>
      </c>
      <c r="G991" s="4">
        <v>144.05000000000001</v>
      </c>
      <c r="H991" t="str">
        <f>"INV 0521472-IN"</f>
        <v>INV 0521472-IN</v>
      </c>
    </row>
    <row r="992" spans="1:8" x14ac:dyDescent="0.25">
      <c r="A992" t="s">
        <v>325</v>
      </c>
      <c r="B992">
        <v>138464</v>
      </c>
      <c r="C992" s="4">
        <v>231.95</v>
      </c>
      <c r="D992" s="1">
        <v>44557</v>
      </c>
      <c r="E992" t="str">
        <f>"0520744-IN 0522364"</f>
        <v>0520744-IN 0522364</v>
      </c>
      <c r="F992" t="str">
        <f>"0520744-IN / 0522364-IN"</f>
        <v>0520744-IN / 0522364-IN</v>
      </c>
      <c r="G992" s="4">
        <v>186.7</v>
      </c>
      <c r="H992" t="str">
        <f>"0520744-IN"</f>
        <v>0520744-IN</v>
      </c>
    </row>
    <row r="993" spans="1:8" x14ac:dyDescent="0.25">
      <c r="E993" t="str">
        <f>""</f>
        <v/>
      </c>
      <c r="F993" t="str">
        <f>""</f>
        <v/>
      </c>
      <c r="G993" s="4">
        <v>45.25</v>
      </c>
      <c r="H993" t="str">
        <f>"0522364-IN"</f>
        <v>0522364-IN</v>
      </c>
    </row>
    <row r="994" spans="1:8" x14ac:dyDescent="0.25">
      <c r="A994" t="s">
        <v>326</v>
      </c>
      <c r="B994">
        <v>138302</v>
      </c>
      <c r="C994" s="4">
        <v>175.85</v>
      </c>
      <c r="D994" s="1">
        <v>44543</v>
      </c>
      <c r="E994" t="str">
        <f>"534028"</f>
        <v>534028</v>
      </c>
      <c r="F994" t="str">
        <f>"STATEMENT#38097/GEN SVCS"</f>
        <v>STATEMENT#38097/GEN SVCS</v>
      </c>
      <c r="G994" s="4">
        <v>149.9</v>
      </c>
      <c r="H994" t="str">
        <f>"STATEMENT#38097/GEN SVCS"</f>
        <v>STATEMENT#38097/GEN SVCS</v>
      </c>
    </row>
    <row r="995" spans="1:8" x14ac:dyDescent="0.25">
      <c r="E995" t="str">
        <f>"534491"</f>
        <v>534491</v>
      </c>
      <c r="F995" t="str">
        <f>"STATMENT#38098/PCT#2"</f>
        <v>STATMENT#38098/PCT#2</v>
      </c>
      <c r="G995" s="4">
        <v>25.95</v>
      </c>
      <c r="H995" t="str">
        <f>"STATMENT#38098/PCT#2"</f>
        <v>STATMENT#38098/PCT#2</v>
      </c>
    </row>
    <row r="996" spans="1:8" x14ac:dyDescent="0.25">
      <c r="A996" t="s">
        <v>327</v>
      </c>
      <c r="B996">
        <v>138303</v>
      </c>
      <c r="C996" s="4">
        <v>711.58</v>
      </c>
      <c r="D996" s="1">
        <v>44543</v>
      </c>
      <c r="E996" t="str">
        <f>"202112087733"</f>
        <v>202112087733</v>
      </c>
      <c r="F996" t="str">
        <f>"ACCT#260/PCT#2"</f>
        <v>ACCT#260/PCT#2</v>
      </c>
      <c r="G996" s="4">
        <v>711.58</v>
      </c>
      <c r="H996" t="str">
        <f>"ACCT#260/PCT#2"</f>
        <v>ACCT#260/PCT#2</v>
      </c>
    </row>
    <row r="997" spans="1:8" x14ac:dyDescent="0.25">
      <c r="A997" t="s">
        <v>328</v>
      </c>
      <c r="B997">
        <v>138465</v>
      </c>
      <c r="C997" s="4">
        <v>2063.33</v>
      </c>
      <c r="D997" s="1">
        <v>44557</v>
      </c>
      <c r="E997" t="str">
        <f>"22T-512"</f>
        <v>22T-512</v>
      </c>
      <c r="F997" t="str">
        <f>"NOVEMBER 2021/MY PERMIT SOFTWA"</f>
        <v>NOVEMBER 2021/MY PERMIT SOFTWA</v>
      </c>
      <c r="G997" s="4">
        <v>2063.33</v>
      </c>
      <c r="H997" t="str">
        <f>"NOVEMBER 2021/MY PERMIT SOFTWA"</f>
        <v>NOVEMBER 2021/MY PERMIT SOFTWA</v>
      </c>
    </row>
    <row r="998" spans="1:8" x14ac:dyDescent="0.25">
      <c r="A998" t="s">
        <v>329</v>
      </c>
      <c r="B998">
        <v>138304</v>
      </c>
      <c r="C998" s="4">
        <v>891.02</v>
      </c>
      <c r="D998" s="1">
        <v>44543</v>
      </c>
      <c r="E998" t="str">
        <f>"IN-000716961"</f>
        <v>IN-000716961</v>
      </c>
      <c r="F998" t="str">
        <f>"FUJITSU SCANNER DISTCLERK"</f>
        <v>FUJITSU SCANNER DISTCLERK</v>
      </c>
      <c r="G998" s="4">
        <v>891.02</v>
      </c>
      <c r="H998" t="str">
        <f>"FUJITSU SCANNER"</f>
        <v>FUJITSU SCANNER</v>
      </c>
    </row>
    <row r="999" spans="1:8" x14ac:dyDescent="0.25">
      <c r="A999" t="s">
        <v>330</v>
      </c>
      <c r="B999">
        <v>138305</v>
      </c>
      <c r="C999" s="4">
        <v>1700.03</v>
      </c>
      <c r="D999" s="1">
        <v>44543</v>
      </c>
      <c r="E999" t="str">
        <f>"4650096725"</f>
        <v>4650096725</v>
      </c>
      <c r="F999" t="str">
        <f>"CUST#0052157/PCT#4"</f>
        <v>CUST#0052157/PCT#4</v>
      </c>
      <c r="G999" s="4">
        <v>148.08000000000001</v>
      </c>
      <c r="H999" t="str">
        <f>"CUST#0052157/PCT#4"</f>
        <v>CUST#0052157/PCT#4</v>
      </c>
    </row>
    <row r="1000" spans="1:8" x14ac:dyDescent="0.25">
      <c r="E1000" t="str">
        <f>"4650097775"</f>
        <v>4650097775</v>
      </c>
      <c r="F1000" t="str">
        <f>"CUST #0052157 PCT#3"</f>
        <v>CUST #0052157 PCT#3</v>
      </c>
      <c r="G1000" s="4">
        <v>201.5</v>
      </c>
      <c r="H1000" t="str">
        <f>"CUST #0052157 PCT#3"</f>
        <v>CUST #0052157 PCT#3</v>
      </c>
    </row>
    <row r="1001" spans="1:8" x14ac:dyDescent="0.25">
      <c r="E1001" t="str">
        <f>"4650098188"</f>
        <v>4650098188</v>
      </c>
      <c r="F1001" t="str">
        <f>"CUST #0052157 PCT#3"</f>
        <v>CUST #0052157 PCT#3</v>
      </c>
      <c r="G1001" s="4">
        <v>1350.45</v>
      </c>
      <c r="H1001" t="str">
        <f>"CUST #0052157 PCT#3"</f>
        <v>CUST #0052157 PCT#3</v>
      </c>
    </row>
    <row r="1002" spans="1:8" x14ac:dyDescent="0.25">
      <c r="A1002" t="s">
        <v>330</v>
      </c>
      <c r="B1002">
        <v>138466</v>
      </c>
      <c r="C1002" s="4">
        <v>1207.94</v>
      </c>
      <c r="D1002" s="1">
        <v>44557</v>
      </c>
      <c r="E1002" t="str">
        <f>"4650096556"</f>
        <v>4650096556</v>
      </c>
      <c r="F1002" t="str">
        <f>"CUST#00521257/PCT#4"</f>
        <v>CUST#00521257/PCT#4</v>
      </c>
      <c r="G1002" s="4">
        <v>390.4</v>
      </c>
      <c r="H1002" t="str">
        <f>"CUST#00521257/PCT#4"</f>
        <v>CUST#00521257/PCT#4</v>
      </c>
    </row>
    <row r="1003" spans="1:8" x14ac:dyDescent="0.25">
      <c r="E1003" t="str">
        <f>"4650098506"</f>
        <v>4650098506</v>
      </c>
      <c r="F1003" t="str">
        <f>"CUST#0052157/PCT#4"</f>
        <v>CUST#0052157/PCT#4</v>
      </c>
      <c r="G1003" s="4">
        <v>817.54</v>
      </c>
      <c r="H1003" t="str">
        <f>"CUST#0052157/PCT#4"</f>
        <v>CUST#0052157/PCT#4</v>
      </c>
    </row>
    <row r="1004" spans="1:8" x14ac:dyDescent="0.25">
      <c r="A1004" t="s">
        <v>331</v>
      </c>
      <c r="B1004">
        <v>138467</v>
      </c>
      <c r="C1004" s="4">
        <v>46.92</v>
      </c>
      <c r="D1004" s="1">
        <v>44557</v>
      </c>
      <c r="E1004" t="str">
        <f>"9604456 120221"</f>
        <v>9604456 120221</v>
      </c>
      <c r="F1004" t="str">
        <f>"ACCT#46668439604456"</f>
        <v>ACCT#46668439604456</v>
      </c>
      <c r="G1004" s="4">
        <v>46.92</v>
      </c>
      <c r="H1004" t="str">
        <f>"ACCT#46668439604456"</f>
        <v>ACCT#46668439604456</v>
      </c>
    </row>
    <row r="1005" spans="1:8" x14ac:dyDescent="0.25">
      <c r="A1005" t="s">
        <v>332</v>
      </c>
      <c r="B1005">
        <v>138306</v>
      </c>
      <c r="C1005" s="4">
        <v>123.52</v>
      </c>
      <c r="D1005" s="1">
        <v>44543</v>
      </c>
      <c r="E1005" t="str">
        <f>"S1190273"</f>
        <v>S1190273</v>
      </c>
      <c r="F1005" t="str">
        <f>"ACCT#114382/ANIMAL SHELTER"</f>
        <v>ACCT#114382/ANIMAL SHELTER</v>
      </c>
      <c r="G1005" s="4">
        <v>123.52</v>
      </c>
      <c r="H1005" t="str">
        <f>"ACCT#114382/ANIMAL SHELTER"</f>
        <v>ACCT#114382/ANIMAL SHELTER</v>
      </c>
    </row>
    <row r="1006" spans="1:8" x14ac:dyDescent="0.25">
      <c r="A1006" t="s">
        <v>333</v>
      </c>
      <c r="B1006">
        <v>138468</v>
      </c>
      <c r="C1006" s="4">
        <v>81.239999999999995</v>
      </c>
      <c r="D1006" s="1">
        <v>44557</v>
      </c>
      <c r="E1006" t="str">
        <f>"202112207943"</f>
        <v>202112207943</v>
      </c>
      <c r="F1006" t="str">
        <f>"INDIGENT HEALTH"</f>
        <v>INDIGENT HEALTH</v>
      </c>
      <c r="G1006" s="4">
        <v>81.239999999999995</v>
      </c>
      <c r="H1006" t="str">
        <f>"INDIGENT HEALTH"</f>
        <v>INDIGENT HEALTH</v>
      </c>
    </row>
    <row r="1007" spans="1:8" x14ac:dyDescent="0.25">
      <c r="A1007" t="s">
        <v>334</v>
      </c>
      <c r="B1007">
        <v>138307</v>
      </c>
      <c r="C1007" s="4">
        <v>359.31</v>
      </c>
      <c r="D1007" s="1">
        <v>44543</v>
      </c>
      <c r="E1007" t="str">
        <f>"4866*98030*1"</f>
        <v>4866*98030*1</v>
      </c>
      <c r="F1007" t="str">
        <f>"JAIL MEDICAL"</f>
        <v>JAIL MEDICAL</v>
      </c>
      <c r="G1007" s="4">
        <v>359.31</v>
      </c>
      <c r="H1007" t="str">
        <f>"JAIL MEDICAL"</f>
        <v>JAIL MEDICAL</v>
      </c>
    </row>
    <row r="1008" spans="1:8" x14ac:dyDescent="0.25">
      <c r="A1008" t="s">
        <v>335</v>
      </c>
      <c r="B1008">
        <v>138469</v>
      </c>
      <c r="C1008" s="4">
        <v>266.01</v>
      </c>
      <c r="D1008" s="1">
        <v>44557</v>
      </c>
      <c r="E1008" t="str">
        <f>"202112207948"</f>
        <v>202112207948</v>
      </c>
      <c r="F1008" t="str">
        <f>"INDIGENT HEALTH"</f>
        <v>INDIGENT HEALTH</v>
      </c>
      <c r="G1008" s="4">
        <v>266.01</v>
      </c>
      <c r="H1008" t="str">
        <f>"INDIGENT HEALTH"</f>
        <v>INDIGENT HEALTH</v>
      </c>
    </row>
    <row r="1009" spans="1:8" x14ac:dyDescent="0.25">
      <c r="A1009" t="s">
        <v>336</v>
      </c>
      <c r="B1009">
        <v>138470</v>
      </c>
      <c r="C1009" s="4">
        <v>132.47</v>
      </c>
      <c r="D1009" s="1">
        <v>44557</v>
      </c>
      <c r="E1009" t="str">
        <f>"202112207949"</f>
        <v>202112207949</v>
      </c>
      <c r="F1009" t="str">
        <f>"INDIGENT HEALTH"</f>
        <v>INDIGENT HEALTH</v>
      </c>
      <c r="G1009" s="4">
        <v>132.47</v>
      </c>
      <c r="H1009" t="str">
        <f>"INDIGENT HEALTH"</f>
        <v>INDIGENT HEALTH</v>
      </c>
    </row>
    <row r="1010" spans="1:8" x14ac:dyDescent="0.25">
      <c r="A1010" t="s">
        <v>337</v>
      </c>
      <c r="B1010">
        <v>138308</v>
      </c>
      <c r="C1010" s="4">
        <v>1320.58</v>
      </c>
      <c r="D1010" s="1">
        <v>44543</v>
      </c>
      <c r="E1010" t="str">
        <f>"8264283694"</f>
        <v>8264283694</v>
      </c>
      <c r="F1010" t="str">
        <f>"Statement"</f>
        <v>Statement</v>
      </c>
      <c r="G1010" s="4">
        <v>147.11000000000001</v>
      </c>
      <c r="H1010" t="str">
        <f>"3492800981"</f>
        <v>3492800981</v>
      </c>
    </row>
    <row r="1011" spans="1:8" x14ac:dyDescent="0.25">
      <c r="E1011" t="str">
        <f>""</f>
        <v/>
      </c>
      <c r="F1011" t="str">
        <f>""</f>
        <v/>
      </c>
      <c r="G1011" s="4">
        <v>13.32</v>
      </c>
      <c r="H1011" t="str">
        <f>"3492800989"</f>
        <v>3492800989</v>
      </c>
    </row>
    <row r="1012" spans="1:8" x14ac:dyDescent="0.25">
      <c r="E1012" t="str">
        <f>""</f>
        <v/>
      </c>
      <c r="F1012" t="str">
        <f>""</f>
        <v/>
      </c>
      <c r="G1012" s="4">
        <v>24.69</v>
      </c>
      <c r="H1012" t="str">
        <f>"3492800990"</f>
        <v>3492800990</v>
      </c>
    </row>
    <row r="1013" spans="1:8" x14ac:dyDescent="0.25">
      <c r="E1013" t="str">
        <f>""</f>
        <v/>
      </c>
      <c r="F1013" t="str">
        <f>""</f>
        <v/>
      </c>
      <c r="G1013" s="4">
        <v>19.78</v>
      </c>
      <c r="H1013" t="str">
        <f>"3492800991"</f>
        <v>3492800991</v>
      </c>
    </row>
    <row r="1014" spans="1:8" x14ac:dyDescent="0.25">
      <c r="E1014" t="str">
        <f>""</f>
        <v/>
      </c>
      <c r="F1014" t="str">
        <f>""</f>
        <v/>
      </c>
      <c r="G1014" s="4">
        <v>17.12</v>
      </c>
      <c r="H1014" t="str">
        <f>"3492800992"</f>
        <v>3492800992</v>
      </c>
    </row>
    <row r="1015" spans="1:8" x14ac:dyDescent="0.25">
      <c r="E1015" t="str">
        <f>""</f>
        <v/>
      </c>
      <c r="F1015" t="str">
        <f>""</f>
        <v/>
      </c>
      <c r="G1015" s="4">
        <v>61.2</v>
      </c>
      <c r="H1015" t="str">
        <f>"3492800983"</f>
        <v>3492800983</v>
      </c>
    </row>
    <row r="1016" spans="1:8" x14ac:dyDescent="0.25">
      <c r="E1016" t="str">
        <f>""</f>
        <v/>
      </c>
      <c r="F1016" t="str">
        <f>""</f>
        <v/>
      </c>
      <c r="G1016" s="4">
        <v>124.21</v>
      </c>
      <c r="H1016" t="str">
        <f>"3492800984"</f>
        <v>3492800984</v>
      </c>
    </row>
    <row r="1017" spans="1:8" x14ac:dyDescent="0.25">
      <c r="E1017" t="str">
        <f>""</f>
        <v/>
      </c>
      <c r="F1017" t="str">
        <f>""</f>
        <v/>
      </c>
      <c r="G1017" s="4">
        <v>133.28</v>
      </c>
      <c r="H1017" t="str">
        <f>"3492800979"</f>
        <v>3492800979</v>
      </c>
    </row>
    <row r="1018" spans="1:8" x14ac:dyDescent="0.25">
      <c r="E1018" t="str">
        <f>""</f>
        <v/>
      </c>
      <c r="F1018" t="str">
        <f>""</f>
        <v/>
      </c>
      <c r="G1018" s="4">
        <v>139.99</v>
      </c>
      <c r="H1018" t="str">
        <f>"3492800987"</f>
        <v>3492800987</v>
      </c>
    </row>
    <row r="1019" spans="1:8" x14ac:dyDescent="0.25">
      <c r="E1019" t="str">
        <f>""</f>
        <v/>
      </c>
      <c r="F1019" t="str">
        <f>""</f>
        <v/>
      </c>
      <c r="G1019" s="4">
        <v>54.73</v>
      </c>
      <c r="H1019" t="str">
        <f>"3498200986"</f>
        <v>3498200986</v>
      </c>
    </row>
    <row r="1020" spans="1:8" x14ac:dyDescent="0.25">
      <c r="E1020" t="str">
        <f>""</f>
        <v/>
      </c>
      <c r="F1020" t="str">
        <f>""</f>
        <v/>
      </c>
      <c r="G1020" s="4">
        <v>360.95</v>
      </c>
      <c r="H1020" t="str">
        <f>"3492800985"</f>
        <v>3492800985</v>
      </c>
    </row>
    <row r="1021" spans="1:8" x14ac:dyDescent="0.25">
      <c r="E1021" t="str">
        <f>""</f>
        <v/>
      </c>
      <c r="F1021" t="str">
        <f>""</f>
        <v/>
      </c>
      <c r="G1021" s="4">
        <v>59.97</v>
      </c>
      <c r="H1021" t="str">
        <f>"3492800988"</f>
        <v>3492800988</v>
      </c>
    </row>
    <row r="1022" spans="1:8" x14ac:dyDescent="0.25">
      <c r="E1022" t="str">
        <f>""</f>
        <v/>
      </c>
      <c r="F1022" t="str">
        <f>""</f>
        <v/>
      </c>
      <c r="G1022" s="4">
        <v>103.03</v>
      </c>
      <c r="H1022" t="str">
        <f>"3492800980"</f>
        <v>3492800980</v>
      </c>
    </row>
    <row r="1023" spans="1:8" x14ac:dyDescent="0.25">
      <c r="E1023" t="str">
        <f>""</f>
        <v/>
      </c>
      <c r="F1023" t="str">
        <f>""</f>
        <v/>
      </c>
      <c r="G1023" s="4">
        <v>61.2</v>
      </c>
      <c r="H1023" t="str">
        <f>"3492800982"</f>
        <v>3492800982</v>
      </c>
    </row>
    <row r="1024" spans="1:8" x14ac:dyDescent="0.25">
      <c r="A1024" t="s">
        <v>337</v>
      </c>
      <c r="B1024">
        <v>138471</v>
      </c>
      <c r="C1024" s="4">
        <v>1458.39</v>
      </c>
      <c r="D1024" s="1">
        <v>44557</v>
      </c>
      <c r="E1024" t="str">
        <f>"202112197898"</f>
        <v>202112197898</v>
      </c>
      <c r="F1024" t="str">
        <f>"STAPLES 12.16.2021"</f>
        <v>STAPLES 12.16.2021</v>
      </c>
      <c r="G1024" s="4">
        <v>81.99</v>
      </c>
      <c r="H1024" t="str">
        <f>"3494204909"</f>
        <v>3494204909</v>
      </c>
    </row>
    <row r="1025" spans="1:8" x14ac:dyDescent="0.25">
      <c r="E1025" t="str">
        <f>""</f>
        <v/>
      </c>
      <c r="F1025" t="str">
        <f>""</f>
        <v/>
      </c>
      <c r="G1025" s="4">
        <v>9.64</v>
      </c>
      <c r="H1025" t="str">
        <f>"3494204910"</f>
        <v>3494204910</v>
      </c>
    </row>
    <row r="1026" spans="1:8" x14ac:dyDescent="0.25">
      <c r="E1026" t="str">
        <f>""</f>
        <v/>
      </c>
      <c r="F1026" t="str">
        <f>""</f>
        <v/>
      </c>
      <c r="G1026" s="4">
        <v>14</v>
      </c>
      <c r="H1026" t="str">
        <f>"3494204901"</f>
        <v>3494204901</v>
      </c>
    </row>
    <row r="1027" spans="1:8" x14ac:dyDescent="0.25">
      <c r="E1027" t="str">
        <f>""</f>
        <v/>
      </c>
      <c r="F1027" t="str">
        <f>""</f>
        <v/>
      </c>
      <c r="G1027" s="4">
        <v>57.86</v>
      </c>
      <c r="H1027" t="str">
        <f>"3494204902"</f>
        <v>3494204902</v>
      </c>
    </row>
    <row r="1028" spans="1:8" x14ac:dyDescent="0.25">
      <c r="E1028" t="str">
        <f>""</f>
        <v/>
      </c>
      <c r="F1028" t="str">
        <f>""</f>
        <v/>
      </c>
      <c r="G1028" s="4">
        <v>227.94</v>
      </c>
      <c r="H1028" t="str">
        <f>"3494204914"</f>
        <v>3494204914</v>
      </c>
    </row>
    <row r="1029" spans="1:8" x14ac:dyDescent="0.25">
      <c r="E1029" t="str">
        <f>""</f>
        <v/>
      </c>
      <c r="F1029" t="str">
        <f>""</f>
        <v/>
      </c>
      <c r="G1029" s="4">
        <v>38.97</v>
      </c>
      <c r="H1029" t="str">
        <f>"3494204911"</f>
        <v>3494204911</v>
      </c>
    </row>
    <row r="1030" spans="1:8" x14ac:dyDescent="0.25">
      <c r="E1030" t="str">
        <f>""</f>
        <v/>
      </c>
      <c r="F1030" t="str">
        <f>""</f>
        <v/>
      </c>
      <c r="G1030" s="4">
        <v>664.13</v>
      </c>
      <c r="H1030" t="str">
        <f>"3494204907"</f>
        <v>3494204907</v>
      </c>
    </row>
    <row r="1031" spans="1:8" x14ac:dyDescent="0.25">
      <c r="E1031" t="str">
        <f>""</f>
        <v/>
      </c>
      <c r="F1031" t="str">
        <f>""</f>
        <v/>
      </c>
      <c r="G1031" s="4">
        <v>68.849999999999994</v>
      </c>
      <c r="H1031" t="str">
        <f>"3494204908"</f>
        <v>3494204908</v>
      </c>
    </row>
    <row r="1032" spans="1:8" x14ac:dyDescent="0.25">
      <c r="E1032" t="str">
        <f>""</f>
        <v/>
      </c>
      <c r="F1032" t="str">
        <f>""</f>
        <v/>
      </c>
      <c r="G1032" s="4">
        <v>-66.62</v>
      </c>
      <c r="H1032" t="str">
        <f>"3494204915"</f>
        <v>3494204915</v>
      </c>
    </row>
    <row r="1033" spans="1:8" x14ac:dyDescent="0.25">
      <c r="E1033" t="str">
        <f>""</f>
        <v/>
      </c>
      <c r="F1033" t="str">
        <f>""</f>
        <v/>
      </c>
      <c r="G1033" s="4">
        <v>62.03</v>
      </c>
      <c r="H1033" t="str">
        <f>"3494204912"</f>
        <v>3494204912</v>
      </c>
    </row>
    <row r="1034" spans="1:8" x14ac:dyDescent="0.25">
      <c r="E1034" t="str">
        <f>""</f>
        <v/>
      </c>
      <c r="F1034" t="str">
        <f>""</f>
        <v/>
      </c>
      <c r="G1034" s="4">
        <v>62.03</v>
      </c>
      <c r="H1034" t="str">
        <f>"3494204913"</f>
        <v>3494204913</v>
      </c>
    </row>
    <row r="1035" spans="1:8" x14ac:dyDescent="0.25">
      <c r="E1035" t="str">
        <f>""</f>
        <v/>
      </c>
      <c r="F1035" t="str">
        <f>""</f>
        <v/>
      </c>
      <c r="G1035" s="4">
        <v>79.98</v>
      </c>
      <c r="H1035" t="str">
        <f>"3494204916"</f>
        <v>3494204916</v>
      </c>
    </row>
    <row r="1036" spans="1:8" x14ac:dyDescent="0.25">
      <c r="E1036" t="str">
        <f>""</f>
        <v/>
      </c>
      <c r="F1036" t="str">
        <f>""</f>
        <v/>
      </c>
      <c r="G1036" s="4">
        <v>49.99</v>
      </c>
      <c r="H1036" t="str">
        <f>"3494204904"</f>
        <v>3494204904</v>
      </c>
    </row>
    <row r="1037" spans="1:8" x14ac:dyDescent="0.25">
      <c r="E1037" t="str">
        <f>""</f>
        <v/>
      </c>
      <c r="F1037" t="str">
        <f>""</f>
        <v/>
      </c>
      <c r="G1037" s="4">
        <v>10.62</v>
      </c>
      <c r="H1037" t="str">
        <f>"3494204905"</f>
        <v>3494204905</v>
      </c>
    </row>
    <row r="1038" spans="1:8" x14ac:dyDescent="0.25">
      <c r="E1038" t="str">
        <f>""</f>
        <v/>
      </c>
      <c r="F1038" t="str">
        <f>""</f>
        <v/>
      </c>
      <c r="G1038" s="4">
        <v>96.98</v>
      </c>
      <c r="H1038" t="str">
        <f>"3494204906"</f>
        <v>3494204906</v>
      </c>
    </row>
    <row r="1039" spans="1:8" x14ac:dyDescent="0.25">
      <c r="A1039" t="s">
        <v>338</v>
      </c>
      <c r="B1039">
        <v>138472</v>
      </c>
      <c r="C1039" s="4">
        <v>448.94</v>
      </c>
      <c r="D1039" s="1">
        <v>44557</v>
      </c>
      <c r="E1039" t="str">
        <f>"202112197930"</f>
        <v>202112197930</v>
      </c>
      <c r="F1039" t="str">
        <f>"NOVEMBER 2021"</f>
        <v>NOVEMBER 2021</v>
      </c>
      <c r="G1039" s="4">
        <v>448.94</v>
      </c>
      <c r="H1039" t="str">
        <f>"NOVEMBER 2021"</f>
        <v>NOVEMBER 2021</v>
      </c>
    </row>
    <row r="1040" spans="1:8" x14ac:dyDescent="0.25">
      <c r="A1040" t="s">
        <v>339</v>
      </c>
      <c r="B1040">
        <v>138309</v>
      </c>
      <c r="C1040" s="4">
        <v>130</v>
      </c>
      <c r="D1040" s="1">
        <v>44543</v>
      </c>
      <c r="E1040" t="str">
        <f>"202111297427"</f>
        <v>202111297427</v>
      </c>
      <c r="F1040" t="str">
        <f>"FERAL HOGS"</f>
        <v>FERAL HOGS</v>
      </c>
      <c r="G1040" s="4">
        <v>75</v>
      </c>
      <c r="H1040" t="str">
        <f>"FERAL HOGS"</f>
        <v>FERAL HOGS</v>
      </c>
    </row>
    <row r="1041" spans="1:8" x14ac:dyDescent="0.25">
      <c r="E1041" t="str">
        <f>"202111297428"</f>
        <v>202111297428</v>
      </c>
      <c r="F1041" t="str">
        <f>"FERAL HOGS"</f>
        <v>FERAL HOGS</v>
      </c>
      <c r="G1041" s="4">
        <v>55</v>
      </c>
      <c r="H1041" t="str">
        <f>"FERAL HOGS"</f>
        <v>FERAL HOGS</v>
      </c>
    </row>
    <row r="1042" spans="1:8" x14ac:dyDescent="0.25">
      <c r="A1042" t="s">
        <v>340</v>
      </c>
      <c r="B1042">
        <v>138310</v>
      </c>
      <c r="C1042" s="4">
        <v>874.93</v>
      </c>
      <c r="D1042" s="1">
        <v>44543</v>
      </c>
      <c r="E1042" t="str">
        <f>"4010558246"</f>
        <v>4010558246</v>
      </c>
      <c r="F1042" t="str">
        <f>"INV 4010558246"</f>
        <v>INV 4010558246</v>
      </c>
      <c r="G1042" s="4">
        <v>874.93</v>
      </c>
      <c r="H1042" t="str">
        <f>"INV 4010558246"</f>
        <v>INV 4010558246</v>
      </c>
    </row>
    <row r="1043" spans="1:8" x14ac:dyDescent="0.25">
      <c r="A1043" t="s">
        <v>341</v>
      </c>
      <c r="B1043">
        <v>5486</v>
      </c>
      <c r="C1043" s="4">
        <v>663</v>
      </c>
      <c r="D1043" s="1">
        <v>44544</v>
      </c>
      <c r="E1043" t="str">
        <f>"202112087716"</f>
        <v>202112087716</v>
      </c>
      <c r="F1043" t="str">
        <f>"TRASH REMOVAL 12/01-12/10/P4"</f>
        <v>TRASH REMOVAL 12/01-12/10/P4</v>
      </c>
      <c r="G1043" s="4">
        <v>312</v>
      </c>
      <c r="H1043" t="str">
        <f>"TRASH REMOVAL 12/01-12/10/P4"</f>
        <v>TRASH REMOVAL 12/01-12/10/P4</v>
      </c>
    </row>
    <row r="1044" spans="1:8" x14ac:dyDescent="0.25">
      <c r="E1044" t="str">
        <f>"202112087717"</f>
        <v>202112087717</v>
      </c>
      <c r="F1044" t="str">
        <f>"TRASH REMOVAL 11/22-11/30/P4"</f>
        <v>TRASH REMOVAL 11/22-11/30/P4</v>
      </c>
      <c r="G1044" s="4">
        <v>351</v>
      </c>
      <c r="H1044" t="str">
        <f>"TRASH REMOVAL 11/22-11/30/P4"</f>
        <v>TRASH REMOVAL 11/22-11/30/P4</v>
      </c>
    </row>
    <row r="1045" spans="1:8" x14ac:dyDescent="0.25">
      <c r="A1045" t="s">
        <v>341</v>
      </c>
      <c r="B1045">
        <v>5564</v>
      </c>
      <c r="C1045" s="4">
        <v>208</v>
      </c>
      <c r="D1045" s="1">
        <v>44558</v>
      </c>
      <c r="E1045" t="str">
        <f>"202112207956"</f>
        <v>202112207956</v>
      </c>
      <c r="F1045" t="str">
        <f>"TRASH REMOVAL 12132021-1217202"</f>
        <v>TRASH REMOVAL 12132021-1217202</v>
      </c>
      <c r="G1045" s="4">
        <v>208</v>
      </c>
      <c r="H1045" t="str">
        <f>"TRASH REMOVAL 12132021-1217202"</f>
        <v>TRASH REMOVAL 12132021-1217202</v>
      </c>
    </row>
    <row r="1046" spans="1:8" x14ac:dyDescent="0.25">
      <c r="A1046" t="s">
        <v>342</v>
      </c>
      <c r="B1046">
        <v>138473</v>
      </c>
      <c r="C1046" s="4">
        <v>260</v>
      </c>
      <c r="D1046" s="1">
        <v>44557</v>
      </c>
      <c r="E1046" t="str">
        <f>"202112197887"</f>
        <v>202112197887</v>
      </c>
      <c r="F1046" t="str">
        <f>"PER DIEM"</f>
        <v>PER DIEM</v>
      </c>
      <c r="G1046" s="4">
        <v>260</v>
      </c>
      <c r="H1046" t="str">
        <f>"PER DIEM"</f>
        <v>PER DIEM</v>
      </c>
    </row>
    <row r="1047" spans="1:8" x14ac:dyDescent="0.25">
      <c r="A1047" t="s">
        <v>343</v>
      </c>
      <c r="B1047">
        <v>5510</v>
      </c>
      <c r="C1047" s="4">
        <v>6807.4</v>
      </c>
      <c r="D1047" s="1">
        <v>44544</v>
      </c>
      <c r="E1047" t="str">
        <f>"96278767"</f>
        <v>96278767</v>
      </c>
      <c r="F1047" t="str">
        <f>"ACCT#10187718 PCT#2"</f>
        <v>ACCT#10187718 PCT#2</v>
      </c>
      <c r="G1047" s="4">
        <v>3680.07</v>
      </c>
      <c r="H1047" t="str">
        <f>"ACCT#10187718 PCT#2"</f>
        <v>ACCT#10187718 PCT#2</v>
      </c>
    </row>
    <row r="1048" spans="1:8" x14ac:dyDescent="0.25">
      <c r="E1048" t="str">
        <f>"96291883"</f>
        <v>96291883</v>
      </c>
      <c r="F1048" t="str">
        <f>"ACCT#10187718/PCT#2"</f>
        <v>ACCT#10187718/PCT#2</v>
      </c>
      <c r="G1048" s="4">
        <v>3127.33</v>
      </c>
      <c r="H1048" t="str">
        <f>"ACCT#10187718/PCT#2"</f>
        <v>ACCT#10187718/PCT#2</v>
      </c>
    </row>
    <row r="1049" spans="1:8" x14ac:dyDescent="0.25">
      <c r="A1049" t="s">
        <v>343</v>
      </c>
      <c r="B1049">
        <v>5580</v>
      </c>
      <c r="C1049" s="4">
        <v>13702.43</v>
      </c>
      <c r="D1049" s="1">
        <v>44558</v>
      </c>
      <c r="E1049" t="str">
        <f>"96279539"</f>
        <v>96279539</v>
      </c>
      <c r="F1049" t="str">
        <f>"ACCT#10187718/PCT#4"</f>
        <v>ACCT#10187718/PCT#4</v>
      </c>
      <c r="G1049" s="4">
        <v>6616.55</v>
      </c>
      <c r="H1049" t="str">
        <f>"ACCT#10187718/PCT#4"</f>
        <v>ACCT#10187718/PCT#4</v>
      </c>
    </row>
    <row r="1050" spans="1:8" x14ac:dyDescent="0.25">
      <c r="E1050" t="str">
        <f>"96299975"</f>
        <v>96299975</v>
      </c>
      <c r="F1050" t="str">
        <f>"ACCT#10187718/PCT#4"</f>
        <v>ACCT#10187718/PCT#4</v>
      </c>
      <c r="G1050" s="4">
        <v>7085.88</v>
      </c>
      <c r="H1050" t="str">
        <f>"ACCT#10187718/PCT#4"</f>
        <v>ACCT#10187718/PCT#4</v>
      </c>
    </row>
    <row r="1051" spans="1:8" x14ac:dyDescent="0.25">
      <c r="A1051" t="s">
        <v>344</v>
      </c>
      <c r="B1051">
        <v>138311</v>
      </c>
      <c r="C1051" s="4">
        <v>889.74</v>
      </c>
      <c r="D1051" s="1">
        <v>44543</v>
      </c>
      <c r="E1051" t="str">
        <f>"120353946"</f>
        <v>120353946</v>
      </c>
      <c r="F1051" t="str">
        <f>"TX UNIT PROP TAX"</f>
        <v>TX UNIT PROP TAX</v>
      </c>
      <c r="G1051" s="4">
        <v>889.74</v>
      </c>
      <c r="H1051" t="str">
        <f>"TX UNIT PROP TAX"</f>
        <v>TX UNIT PROP TAX</v>
      </c>
    </row>
    <row r="1052" spans="1:8" x14ac:dyDescent="0.25">
      <c r="A1052" t="s">
        <v>344</v>
      </c>
      <c r="B1052">
        <v>138474</v>
      </c>
      <c r="C1052" s="4">
        <v>889.74</v>
      </c>
      <c r="D1052" s="1">
        <v>44557</v>
      </c>
      <c r="E1052" t="str">
        <f>"120353946-0001"</f>
        <v>120353946-0001</v>
      </c>
      <c r="F1052" t="str">
        <f>"ACCT#590010/CONT#120353946"</f>
        <v>ACCT#590010/CONT#120353946</v>
      </c>
      <c r="G1052" s="4">
        <v>889.74</v>
      </c>
      <c r="H1052" t="str">
        <f>"ACCT#590010/CONT#120353946"</f>
        <v>ACCT#590010/CONT#120353946</v>
      </c>
    </row>
    <row r="1053" spans="1:8" x14ac:dyDescent="0.25">
      <c r="A1053" t="s">
        <v>345</v>
      </c>
      <c r="B1053">
        <v>138312</v>
      </c>
      <c r="C1053" s="4">
        <v>338</v>
      </c>
      <c r="D1053" s="1">
        <v>44543</v>
      </c>
      <c r="E1053" t="str">
        <f>"BCS2568"</f>
        <v>BCS2568</v>
      </c>
      <c r="F1053" t="str">
        <f>"INV BCS2568"</f>
        <v>INV BCS2568</v>
      </c>
      <c r="G1053" s="4">
        <v>338</v>
      </c>
      <c r="H1053" t="str">
        <f>"INV BCS2568"</f>
        <v>INV BCS2568</v>
      </c>
    </row>
    <row r="1054" spans="1:8" x14ac:dyDescent="0.25">
      <c r="A1054" t="s">
        <v>346</v>
      </c>
      <c r="B1054">
        <v>5583</v>
      </c>
      <c r="C1054" s="4">
        <v>3505</v>
      </c>
      <c r="D1054" s="1">
        <v>44558</v>
      </c>
      <c r="E1054" t="str">
        <f>"8124"</f>
        <v>8124</v>
      </c>
      <c r="F1054" t="str">
        <f>"CITRUS CLEAN/PCT#4"</f>
        <v>CITRUS CLEAN/PCT#4</v>
      </c>
      <c r="G1054" s="4">
        <v>3505</v>
      </c>
      <c r="H1054" t="str">
        <f>"CITRUS CLEAN/PCT#4"</f>
        <v>CITRUS CLEAN/PCT#4</v>
      </c>
    </row>
    <row r="1055" spans="1:8" x14ac:dyDescent="0.25">
      <c r="A1055" t="s">
        <v>347</v>
      </c>
      <c r="B1055">
        <v>138475</v>
      </c>
      <c r="C1055" s="4">
        <v>90</v>
      </c>
      <c r="D1055" s="1">
        <v>44557</v>
      </c>
      <c r="E1055" t="str">
        <f>"300021279"</f>
        <v>300021279</v>
      </c>
      <c r="F1055" t="str">
        <f>"MEMBERSHIP - JENNIFER NUNEZ"</f>
        <v>MEMBERSHIP - JENNIFER NUNEZ</v>
      </c>
      <c r="G1055" s="4">
        <v>90</v>
      </c>
      <c r="H1055" t="str">
        <f>"MEMBERSHIP - JENNIFER NUNEZ"</f>
        <v>MEMBERSHIP - JENNIFER NUNEZ</v>
      </c>
    </row>
    <row r="1056" spans="1:8" x14ac:dyDescent="0.25">
      <c r="A1056" t="s">
        <v>348</v>
      </c>
      <c r="B1056">
        <v>5500</v>
      </c>
      <c r="C1056" s="4">
        <v>53.58</v>
      </c>
      <c r="D1056" s="1">
        <v>44544</v>
      </c>
      <c r="E1056" t="str">
        <f>"21120102"</f>
        <v>21120102</v>
      </c>
      <c r="F1056" t="str">
        <f>"SVC CONTRACT 11/01-12/01"</f>
        <v>SVC CONTRACT 11/01-12/01</v>
      </c>
      <c r="G1056" s="4">
        <v>53.58</v>
      </c>
      <c r="H1056" t="str">
        <f>"SVC CONTRACT 11/01-12/01"</f>
        <v>SVC CONTRACT 11/01-12/01</v>
      </c>
    </row>
    <row r="1057" spans="1:8" x14ac:dyDescent="0.25">
      <c r="A1057" t="s">
        <v>349</v>
      </c>
      <c r="B1057">
        <v>138313</v>
      </c>
      <c r="C1057" s="4">
        <v>250</v>
      </c>
      <c r="D1057" s="1">
        <v>44543</v>
      </c>
      <c r="E1057" t="str">
        <f>"202111307498"</f>
        <v>202111307498</v>
      </c>
      <c r="F1057" t="str">
        <f>"PID#469799/CHRISTOPHER R STONE"</f>
        <v>PID#469799/CHRISTOPHER R STONE</v>
      </c>
      <c r="G1057" s="4">
        <v>250</v>
      </c>
      <c r="H1057" t="str">
        <f>"PID#469799/CHRISTOPHER R STONE"</f>
        <v>PID#469799/CHRISTOPHER R STONE</v>
      </c>
    </row>
    <row r="1058" spans="1:8" x14ac:dyDescent="0.25">
      <c r="A1058" t="s">
        <v>349</v>
      </c>
      <c r="B1058">
        <v>138314</v>
      </c>
      <c r="C1058" s="4">
        <v>25</v>
      </c>
      <c r="D1058" s="1">
        <v>44543</v>
      </c>
      <c r="E1058" t="str">
        <f>"22-0016"</f>
        <v>22-0016</v>
      </c>
      <c r="F1058" t="str">
        <f>"INV 22-0016"</f>
        <v>INV 22-0016</v>
      </c>
      <c r="G1058" s="4">
        <v>25</v>
      </c>
      <c r="H1058" t="str">
        <f>"INV 22-0016"</f>
        <v>INV 22-0016</v>
      </c>
    </row>
    <row r="1059" spans="1:8" x14ac:dyDescent="0.25">
      <c r="A1059" t="s">
        <v>350</v>
      </c>
      <c r="B1059">
        <v>138315</v>
      </c>
      <c r="C1059" s="4">
        <v>1955</v>
      </c>
      <c r="D1059" s="1">
        <v>44543</v>
      </c>
      <c r="E1059" t="str">
        <f>"189049"</f>
        <v>189049</v>
      </c>
      <c r="F1059" t="str">
        <f>"50511722/2021 LEGISLATIVE UPDA"</f>
        <v>50511722/2021 LEGISLATIVE UPDA</v>
      </c>
      <c r="G1059" s="4">
        <v>100</v>
      </c>
      <c r="H1059" t="str">
        <f>"50511722/2021 LEGISLATIVE UPDA"</f>
        <v>50511722/2021 LEGISLATIVE UPDA</v>
      </c>
    </row>
    <row r="1060" spans="1:8" x14ac:dyDescent="0.25">
      <c r="E1060" t="str">
        <f>"192987"</f>
        <v>192987</v>
      </c>
      <c r="F1060" t="str">
        <f>"00784138/2021 LEGISLATIVE UPDA"</f>
        <v>00784138/2021 LEGISLATIVE UPDA</v>
      </c>
      <c r="G1060" s="4">
        <v>100</v>
      </c>
      <c r="H1060" t="str">
        <f>"TEXAS DISTRICT &amp; COUNTY ATTORN"</f>
        <v>TEXAS DISTRICT &amp; COUNTY ATTORN</v>
      </c>
    </row>
    <row r="1061" spans="1:8" x14ac:dyDescent="0.25">
      <c r="E1061" t="str">
        <f>"194353"</f>
        <v>194353</v>
      </c>
      <c r="F1061" t="str">
        <f>"07923050/2021 LEGISLATIVE UPDA"</f>
        <v>07923050/2021 LEGISLATIVE UPDA</v>
      </c>
      <c r="G1061" s="4">
        <v>100</v>
      </c>
      <c r="H1061" t="str">
        <f>"07923050/2021 LEGISLATIVE UPDA"</f>
        <v>07923050/2021 LEGISLATIVE UPDA</v>
      </c>
    </row>
    <row r="1062" spans="1:8" x14ac:dyDescent="0.25">
      <c r="E1062" t="str">
        <f>"195439"</f>
        <v>195439</v>
      </c>
      <c r="F1062" t="str">
        <f>"24038918/2021 LEGISLATIVE UPDA"</f>
        <v>24038918/2021 LEGISLATIVE UPDA</v>
      </c>
      <c r="G1062" s="4">
        <v>100</v>
      </c>
      <c r="H1062" t="str">
        <f>"24038918/2021 LEGISLATIVE UPDA"</f>
        <v>24038918/2021 LEGISLATIVE UPDA</v>
      </c>
    </row>
    <row r="1063" spans="1:8" x14ac:dyDescent="0.25">
      <c r="E1063" t="str">
        <f>"197257"</f>
        <v>197257</v>
      </c>
      <c r="F1063" t="str">
        <f>"103453/2022 INVESTIGATOR CONF"</f>
        <v>103453/2022 INVESTIGATOR CONF</v>
      </c>
      <c r="G1063" s="4">
        <v>350</v>
      </c>
      <c r="H1063" t="str">
        <f>"103453/2022 INVESTIGATOR CONF"</f>
        <v>103453/2022 INVESTIGATOR CONF</v>
      </c>
    </row>
    <row r="1064" spans="1:8" x14ac:dyDescent="0.25">
      <c r="E1064" t="str">
        <f>"197407"</f>
        <v>197407</v>
      </c>
      <c r="F1064" t="str">
        <f>"BASTROP COUNTY - CDA"</f>
        <v>BASTROP COUNTY - CDA</v>
      </c>
      <c r="G1064" s="4">
        <v>1030</v>
      </c>
      <c r="H1064" t="str">
        <f>"BASTROP COUNTY - CDA"</f>
        <v>BASTROP COUNTY - CDA</v>
      </c>
    </row>
    <row r="1065" spans="1:8" x14ac:dyDescent="0.25">
      <c r="E1065" t="str">
        <f>"197765"</f>
        <v>197765</v>
      </c>
      <c r="F1065" t="str">
        <f>"412244/2022 INVESTIGATOR CONF"</f>
        <v>412244/2022 INVESTIGATOR CONF</v>
      </c>
      <c r="G1065" s="4">
        <v>175</v>
      </c>
      <c r="H1065" t="str">
        <f>"412244/2022 INVESTIGATOR CONF"</f>
        <v>412244/2022 INVESTIGATOR CONF</v>
      </c>
    </row>
    <row r="1066" spans="1:8" x14ac:dyDescent="0.25">
      <c r="A1066" t="s">
        <v>351</v>
      </c>
      <c r="B1066">
        <v>5594</v>
      </c>
      <c r="C1066" s="4">
        <v>61.6</v>
      </c>
      <c r="D1066" s="1">
        <v>44558</v>
      </c>
      <c r="E1066" t="str">
        <f>"202112167829"</f>
        <v>202112167829</v>
      </c>
      <c r="F1066" t="str">
        <f>"VISITING JUDGE"</f>
        <v>VISITING JUDGE</v>
      </c>
      <c r="G1066" s="4">
        <v>61.6</v>
      </c>
      <c r="H1066" t="str">
        <f>"CASE#8701"</f>
        <v>CASE#8701</v>
      </c>
    </row>
    <row r="1067" spans="1:8" x14ac:dyDescent="0.25">
      <c r="A1067" t="s">
        <v>352</v>
      </c>
      <c r="B1067">
        <v>5538</v>
      </c>
      <c r="C1067" s="4">
        <v>311.39999999999998</v>
      </c>
      <c r="D1067" s="1">
        <v>44544</v>
      </c>
      <c r="E1067" t="str">
        <f>"899562"</f>
        <v>899562</v>
      </c>
      <c r="F1067" t="str">
        <f>"ACCT#63275 CUST IDBASC01 PCT1"</f>
        <v>ACCT#63275 CUST IDBASC01 PCT1</v>
      </c>
      <c r="G1067" s="4">
        <v>72</v>
      </c>
      <c r="H1067" t="str">
        <f>"ACCT#63275 CUST IDBASC01 PCT1"</f>
        <v>ACCT#63275 CUST IDBASC01 PCT1</v>
      </c>
    </row>
    <row r="1068" spans="1:8" x14ac:dyDescent="0.25">
      <c r="E1068" t="str">
        <f>"899590"</f>
        <v>899590</v>
      </c>
      <c r="F1068" t="str">
        <f>"ACCT#63275 BASCO1 PCT#3"</f>
        <v>ACCT#63275 BASCO1 PCT#3</v>
      </c>
      <c r="G1068" s="4">
        <v>239.4</v>
      </c>
      <c r="H1068" t="str">
        <f>"ACCT#63275 BASCO1 PCT#3"</f>
        <v>ACCT#63275 BASCO1 PCT#3</v>
      </c>
    </row>
    <row r="1069" spans="1:8" x14ac:dyDescent="0.25">
      <c r="A1069" t="s">
        <v>353</v>
      </c>
      <c r="B1069">
        <v>138316</v>
      </c>
      <c r="C1069" s="4">
        <v>5170.8100000000004</v>
      </c>
      <c r="D1069" s="1">
        <v>44543</v>
      </c>
      <c r="E1069" t="str">
        <f>"1155432-IN"</f>
        <v>1155432-IN</v>
      </c>
      <c r="F1069" t="str">
        <f>"ACCT#01-0112917/PCT#3"</f>
        <v>ACCT#01-0112917/PCT#3</v>
      </c>
      <c r="G1069" s="4">
        <v>5170.8100000000004</v>
      </c>
      <c r="H1069" t="str">
        <f>"ACCT#01-0112917/PCT#3"</f>
        <v>ACCT#01-0112917/PCT#3</v>
      </c>
    </row>
    <row r="1070" spans="1:8" x14ac:dyDescent="0.25">
      <c r="A1070" t="s">
        <v>353</v>
      </c>
      <c r="B1070">
        <v>138476</v>
      </c>
      <c r="C1070" s="4">
        <v>10535.29</v>
      </c>
      <c r="D1070" s="1">
        <v>44557</v>
      </c>
      <c r="E1070" t="str">
        <f>"1159006-IN"</f>
        <v>1159006-IN</v>
      </c>
      <c r="F1070" t="str">
        <f>"FUEL / PCT #3"</f>
        <v>FUEL / PCT #3</v>
      </c>
      <c r="G1070" s="4">
        <v>4506.6499999999996</v>
      </c>
      <c r="H1070" t="str">
        <f>"FUEL / PCT #3"</f>
        <v>FUEL / PCT #3</v>
      </c>
    </row>
    <row r="1071" spans="1:8" x14ac:dyDescent="0.25">
      <c r="E1071" t="str">
        <f>"1160402-IN"</f>
        <v>1160402-IN</v>
      </c>
      <c r="F1071" t="str">
        <f>"FUEL / PCT #1"</f>
        <v>FUEL / PCT #1</v>
      </c>
      <c r="G1071" s="4">
        <v>6028.64</v>
      </c>
      <c r="H1071" t="str">
        <f>"FUEL / PCT #1"</f>
        <v>FUEL / PCT #1</v>
      </c>
    </row>
    <row r="1072" spans="1:8" x14ac:dyDescent="0.25">
      <c r="A1072" t="s">
        <v>354</v>
      </c>
      <c r="B1072">
        <v>138477</v>
      </c>
      <c r="C1072" s="4">
        <v>902.96</v>
      </c>
      <c r="D1072" s="1">
        <v>44557</v>
      </c>
      <c r="E1072" t="str">
        <f>"202112207950"</f>
        <v>202112207950</v>
      </c>
      <c r="F1072" t="str">
        <f>"INDIGENT HEALTH"</f>
        <v>INDIGENT HEALTH</v>
      </c>
      <c r="G1072" s="4">
        <v>902.96</v>
      </c>
      <c r="H1072" t="str">
        <f>"INDIGENT HEALTH"</f>
        <v>INDIGENT HEALTH</v>
      </c>
    </row>
    <row r="1073" spans="1:8" x14ac:dyDescent="0.25">
      <c r="A1073" t="s">
        <v>355</v>
      </c>
      <c r="B1073">
        <v>138317</v>
      </c>
      <c r="C1073" s="4">
        <v>1005</v>
      </c>
      <c r="D1073" s="1">
        <v>44543</v>
      </c>
      <c r="E1073" t="str">
        <f>"64437684"</f>
        <v>64437684</v>
      </c>
      <c r="F1073" t="str">
        <f>"DECEMBER RENEWALS"</f>
        <v>DECEMBER RENEWALS</v>
      </c>
      <c r="G1073" s="4">
        <v>100</v>
      </c>
      <c r="H1073" t="str">
        <f>"DECEMBER RENEWALS"</f>
        <v>DECEMBER RENEWALS</v>
      </c>
    </row>
    <row r="1074" spans="1:8" x14ac:dyDescent="0.25">
      <c r="E1074" t="str">
        <f>"7645"</f>
        <v>7645</v>
      </c>
      <c r="F1074" t="str">
        <f>"INV 7645"</f>
        <v>INV 7645</v>
      </c>
      <c r="G1074" s="4">
        <v>50</v>
      </c>
      <c r="H1074" t="str">
        <f>"INV 7645"</f>
        <v>INV 7645</v>
      </c>
    </row>
    <row r="1075" spans="1:8" x14ac:dyDescent="0.25">
      <c r="E1075" t="str">
        <f>"7689"</f>
        <v>7689</v>
      </c>
      <c r="F1075" t="str">
        <f>"SURETY BOND - LISA SMITH"</f>
        <v>SURETY BOND - LISA SMITH</v>
      </c>
      <c r="G1075" s="4">
        <v>350</v>
      </c>
      <c r="H1075" t="str">
        <f>"SURETY BOND - LISA SMITH"</f>
        <v>SURETY BOND - LISA SMITH</v>
      </c>
    </row>
    <row r="1076" spans="1:8" x14ac:dyDescent="0.25">
      <c r="E1076" t="str">
        <f>"7692"</f>
        <v>7692</v>
      </c>
      <c r="F1076" t="str">
        <f>"BOND RNWL - CLARA BECKETT"</f>
        <v>BOND RNWL - CLARA BECKETT</v>
      </c>
      <c r="G1076" s="4">
        <v>50</v>
      </c>
      <c r="H1076" t="str">
        <f>"BOND RNWL - CLARA BECKETT"</f>
        <v>BOND RNWL - CLARA BECKETT</v>
      </c>
    </row>
    <row r="1077" spans="1:8" x14ac:dyDescent="0.25">
      <c r="E1077" t="str">
        <f>"7695"</f>
        <v>7695</v>
      </c>
      <c r="F1077" t="str">
        <f>"RENEWAL BLANKET CO CLERK BOND"</f>
        <v>RENEWAL BLANKET CO CLERK BOND</v>
      </c>
      <c r="G1077" s="4">
        <v>455</v>
      </c>
      <c r="H1077" t="str">
        <f>"RENEWAL BLANKET CO CLERK BOND"</f>
        <v>RENEWAL BLANKET CO CLERK BOND</v>
      </c>
    </row>
    <row r="1078" spans="1:8" x14ac:dyDescent="0.25">
      <c r="A1078" t="s">
        <v>355</v>
      </c>
      <c r="B1078">
        <v>138478</v>
      </c>
      <c r="C1078" s="4">
        <v>400</v>
      </c>
      <c r="D1078" s="1">
        <v>44557</v>
      </c>
      <c r="E1078" t="str">
        <f>"JANUARY 22-23 BOND"</f>
        <v>JANUARY 22-23 BOND</v>
      </c>
      <c r="F1078" t="str">
        <f>"JANUARY BOND RENEWALS"</f>
        <v>JANUARY BOND RENEWALS</v>
      </c>
      <c r="G1078" s="4">
        <v>400</v>
      </c>
      <c r="H1078" t="str">
        <f>"JANUARY BOND RENEWALS"</f>
        <v>JANUARY BOND RENEWALS</v>
      </c>
    </row>
    <row r="1079" spans="1:8" x14ac:dyDescent="0.25">
      <c r="A1079" t="s">
        <v>356</v>
      </c>
      <c r="B1079">
        <v>138318</v>
      </c>
      <c r="C1079" s="4">
        <v>125</v>
      </c>
      <c r="D1079" s="1">
        <v>44543</v>
      </c>
      <c r="E1079" t="str">
        <f>"203162 - 2022"</f>
        <v>203162 - 2022</v>
      </c>
      <c r="F1079" t="str">
        <f>"CDCAT MEMBERSHIP DUES-K.BARTSC"</f>
        <v>CDCAT MEMBERSHIP DUES-K.BARTSC</v>
      </c>
      <c r="G1079" s="4">
        <v>125</v>
      </c>
      <c r="H1079" t="str">
        <f>"CDCAT MEMBERSHIP DUES-K.BARTSC"</f>
        <v>CDCAT MEMBERSHIP DUES-K.BARTSC</v>
      </c>
    </row>
    <row r="1080" spans="1:8" x14ac:dyDescent="0.25">
      <c r="A1080" t="s">
        <v>357</v>
      </c>
      <c r="B1080">
        <v>138319</v>
      </c>
      <c r="C1080" s="4">
        <v>600</v>
      </c>
      <c r="D1080" s="1">
        <v>44543</v>
      </c>
      <c r="E1080" t="str">
        <f>"202112027644"</f>
        <v>202112027644</v>
      </c>
      <c r="F1080" t="str">
        <f>"K. MILES/DUES/MIDWINTER CONF"</f>
        <v>K. MILES/DUES/MIDWINTER CONF</v>
      </c>
      <c r="G1080" s="4">
        <v>400</v>
      </c>
      <c r="H1080" t="str">
        <f>"K. MILES/DUES/MIDWINTER CONF"</f>
        <v>K. MILES/DUES/MIDWINTER CONF</v>
      </c>
    </row>
    <row r="1081" spans="1:8" x14ac:dyDescent="0.25">
      <c r="E1081" t="str">
        <f>"202112027645"</f>
        <v>202112027645</v>
      </c>
      <c r="F1081" t="str">
        <f>"M. WELCH-ANNUAL DUES 2022"</f>
        <v>M. WELCH-ANNUAL DUES 2022</v>
      </c>
      <c r="G1081" s="4">
        <v>100</v>
      </c>
      <c r="H1081" t="str">
        <f>"M. WELCH-ANNUAL DUES 2022"</f>
        <v>M. WELCH-ANNUAL DUES 2022</v>
      </c>
    </row>
    <row r="1082" spans="1:8" x14ac:dyDescent="0.25">
      <c r="E1082" t="str">
        <f>"202112027646"</f>
        <v>202112027646</v>
      </c>
      <c r="F1082" t="str">
        <f>"S. STRONG-ANNUAL DUES 2022"</f>
        <v>S. STRONG-ANNUAL DUES 2022</v>
      </c>
      <c r="G1082" s="4">
        <v>100</v>
      </c>
      <c r="H1082" t="str">
        <f>"S. STRONG-ANNUAL DUES"</f>
        <v>S. STRONG-ANNUAL DUES</v>
      </c>
    </row>
    <row r="1083" spans="1:8" x14ac:dyDescent="0.25">
      <c r="A1083" t="s">
        <v>356</v>
      </c>
      <c r="B1083">
        <v>138479</v>
      </c>
      <c r="C1083" s="4">
        <v>95090.59</v>
      </c>
      <c r="D1083" s="1">
        <v>44557</v>
      </c>
      <c r="E1083" t="str">
        <f>"NRCN-34691-WC1"</f>
        <v>NRCN-34691-WC1</v>
      </c>
      <c r="F1083" t="str">
        <f>"WORKER'S COMP 1ST QTR 2022"</f>
        <v>WORKER'S COMP 1ST QTR 2022</v>
      </c>
      <c r="G1083" s="4">
        <v>86.78</v>
      </c>
      <c r="H1083" t="str">
        <f t="shared" ref="H1083:H1128" si="13">"TEXAS ASSOCIATION OF COUNTIES"</f>
        <v>TEXAS ASSOCIATION OF COUNTIES</v>
      </c>
    </row>
    <row r="1084" spans="1:8" x14ac:dyDescent="0.25">
      <c r="E1084" t="str">
        <f>""</f>
        <v/>
      </c>
      <c r="F1084" t="str">
        <f>""</f>
        <v/>
      </c>
      <c r="G1084" s="4">
        <v>115.71</v>
      </c>
      <c r="H1084" t="str">
        <f t="shared" si="13"/>
        <v>TEXAS ASSOCIATION OF COUNTIES</v>
      </c>
    </row>
    <row r="1085" spans="1:8" x14ac:dyDescent="0.25">
      <c r="E1085" t="str">
        <f>""</f>
        <v/>
      </c>
      <c r="F1085" t="str">
        <f>""</f>
        <v/>
      </c>
      <c r="G1085" s="4">
        <v>318.19</v>
      </c>
      <c r="H1085" t="str">
        <f t="shared" si="13"/>
        <v>TEXAS ASSOCIATION OF COUNTIES</v>
      </c>
    </row>
    <row r="1086" spans="1:8" x14ac:dyDescent="0.25">
      <c r="E1086" t="str">
        <f>""</f>
        <v/>
      </c>
      <c r="F1086" t="str">
        <f>""</f>
        <v/>
      </c>
      <c r="G1086" s="4">
        <v>86.78</v>
      </c>
      <c r="H1086" t="str">
        <f t="shared" si="13"/>
        <v>TEXAS ASSOCIATION OF COUNTIES</v>
      </c>
    </row>
    <row r="1087" spans="1:8" x14ac:dyDescent="0.25">
      <c r="E1087" t="str">
        <f>""</f>
        <v/>
      </c>
      <c r="F1087" t="str">
        <f>""</f>
        <v/>
      </c>
      <c r="G1087" s="4">
        <v>57.85</v>
      </c>
      <c r="H1087" t="str">
        <f t="shared" si="13"/>
        <v>TEXAS ASSOCIATION OF COUNTIES</v>
      </c>
    </row>
    <row r="1088" spans="1:8" x14ac:dyDescent="0.25">
      <c r="E1088" t="str">
        <f>""</f>
        <v/>
      </c>
      <c r="F1088" t="str">
        <f>""</f>
        <v/>
      </c>
      <c r="G1088" s="4">
        <v>202.49</v>
      </c>
      <c r="H1088" t="str">
        <f t="shared" si="13"/>
        <v>TEXAS ASSOCIATION OF COUNTIES</v>
      </c>
    </row>
    <row r="1089" spans="5:8" x14ac:dyDescent="0.25">
      <c r="E1089" t="str">
        <f>""</f>
        <v/>
      </c>
      <c r="F1089" t="str">
        <f>""</f>
        <v/>
      </c>
      <c r="G1089" s="4">
        <v>752.1</v>
      </c>
      <c r="H1089" t="str">
        <f t="shared" si="13"/>
        <v>TEXAS ASSOCIATION OF COUNTIES</v>
      </c>
    </row>
    <row r="1090" spans="5:8" x14ac:dyDescent="0.25">
      <c r="E1090" t="str">
        <f>""</f>
        <v/>
      </c>
      <c r="F1090" t="str">
        <f>""</f>
        <v/>
      </c>
      <c r="G1090" s="4">
        <v>28.93</v>
      </c>
      <c r="H1090" t="str">
        <f t="shared" si="13"/>
        <v>TEXAS ASSOCIATION OF COUNTIES</v>
      </c>
    </row>
    <row r="1091" spans="5:8" x14ac:dyDescent="0.25">
      <c r="E1091" t="str">
        <f>""</f>
        <v/>
      </c>
      <c r="F1091" t="str">
        <f>""</f>
        <v/>
      </c>
      <c r="G1091" s="4">
        <v>115.71</v>
      </c>
      <c r="H1091" t="str">
        <f t="shared" si="13"/>
        <v>TEXAS ASSOCIATION OF COUNTIES</v>
      </c>
    </row>
    <row r="1092" spans="5:8" x14ac:dyDescent="0.25">
      <c r="E1092" t="str">
        <f>""</f>
        <v/>
      </c>
      <c r="F1092" t="str">
        <f>""</f>
        <v/>
      </c>
      <c r="G1092" s="4">
        <v>231.41</v>
      </c>
      <c r="H1092" t="str">
        <f t="shared" si="13"/>
        <v>TEXAS ASSOCIATION OF COUNTIES</v>
      </c>
    </row>
    <row r="1093" spans="5:8" x14ac:dyDescent="0.25">
      <c r="E1093" t="str">
        <f>""</f>
        <v/>
      </c>
      <c r="F1093" t="str">
        <f>""</f>
        <v/>
      </c>
      <c r="G1093" s="4">
        <v>462.83</v>
      </c>
      <c r="H1093" t="str">
        <f t="shared" si="13"/>
        <v>TEXAS ASSOCIATION OF COUNTIES</v>
      </c>
    </row>
    <row r="1094" spans="5:8" x14ac:dyDescent="0.25">
      <c r="E1094" t="str">
        <f>""</f>
        <v/>
      </c>
      <c r="F1094" t="str">
        <f>""</f>
        <v/>
      </c>
      <c r="G1094" s="4">
        <v>115.71</v>
      </c>
      <c r="H1094" t="str">
        <f t="shared" si="13"/>
        <v>TEXAS ASSOCIATION OF COUNTIES</v>
      </c>
    </row>
    <row r="1095" spans="5:8" x14ac:dyDescent="0.25">
      <c r="E1095" t="str">
        <f>""</f>
        <v/>
      </c>
      <c r="F1095" t="str">
        <f>""</f>
        <v/>
      </c>
      <c r="G1095" s="4">
        <v>115.71</v>
      </c>
      <c r="H1095" t="str">
        <f t="shared" si="13"/>
        <v>TEXAS ASSOCIATION OF COUNTIES</v>
      </c>
    </row>
    <row r="1096" spans="5:8" x14ac:dyDescent="0.25">
      <c r="E1096" t="str">
        <f>""</f>
        <v/>
      </c>
      <c r="F1096" t="str">
        <f>""</f>
        <v/>
      </c>
      <c r="G1096" s="4">
        <v>115.71</v>
      </c>
      <c r="H1096" t="str">
        <f t="shared" si="13"/>
        <v>TEXAS ASSOCIATION OF COUNTIES</v>
      </c>
    </row>
    <row r="1097" spans="5:8" x14ac:dyDescent="0.25">
      <c r="E1097" t="str">
        <f>""</f>
        <v/>
      </c>
      <c r="F1097" t="str">
        <f>""</f>
        <v/>
      </c>
      <c r="G1097" s="4">
        <v>115.71</v>
      </c>
      <c r="H1097" t="str">
        <f t="shared" si="13"/>
        <v>TEXAS ASSOCIATION OF COUNTIES</v>
      </c>
    </row>
    <row r="1098" spans="5:8" x14ac:dyDescent="0.25">
      <c r="E1098" t="str">
        <f>""</f>
        <v/>
      </c>
      <c r="F1098" t="str">
        <f>""</f>
        <v/>
      </c>
      <c r="G1098" s="4">
        <v>86.78</v>
      </c>
      <c r="H1098" t="str">
        <f t="shared" si="13"/>
        <v>TEXAS ASSOCIATION OF COUNTIES</v>
      </c>
    </row>
    <row r="1099" spans="5:8" x14ac:dyDescent="0.25">
      <c r="E1099" t="str">
        <f>""</f>
        <v/>
      </c>
      <c r="F1099" t="str">
        <f>""</f>
        <v/>
      </c>
      <c r="G1099" s="4">
        <v>293.56</v>
      </c>
      <c r="H1099" t="str">
        <f t="shared" si="13"/>
        <v>TEXAS ASSOCIATION OF COUNTIES</v>
      </c>
    </row>
    <row r="1100" spans="5:8" x14ac:dyDescent="0.25">
      <c r="E1100" t="str">
        <f>""</f>
        <v/>
      </c>
      <c r="F1100" t="str">
        <f>""</f>
        <v/>
      </c>
      <c r="G1100" s="4">
        <v>231.41</v>
      </c>
      <c r="H1100" t="str">
        <f t="shared" si="13"/>
        <v>TEXAS ASSOCIATION OF COUNTIES</v>
      </c>
    </row>
    <row r="1101" spans="5:8" x14ac:dyDescent="0.25">
      <c r="E1101" t="str">
        <f>""</f>
        <v/>
      </c>
      <c r="F1101" t="str">
        <f>""</f>
        <v/>
      </c>
      <c r="G1101" s="4">
        <v>115.68</v>
      </c>
      <c r="H1101" t="str">
        <f t="shared" si="13"/>
        <v>TEXAS ASSOCIATION OF COUNTIES</v>
      </c>
    </row>
    <row r="1102" spans="5:8" x14ac:dyDescent="0.25">
      <c r="E1102" t="str">
        <f>""</f>
        <v/>
      </c>
      <c r="F1102" t="str">
        <f>""</f>
        <v/>
      </c>
      <c r="G1102" s="4">
        <v>115.71</v>
      </c>
      <c r="H1102" t="str">
        <f t="shared" si="13"/>
        <v>TEXAS ASSOCIATION OF COUNTIES</v>
      </c>
    </row>
    <row r="1103" spans="5:8" x14ac:dyDescent="0.25">
      <c r="E1103" t="str">
        <f>""</f>
        <v/>
      </c>
      <c r="F1103" t="str">
        <f>""</f>
        <v/>
      </c>
      <c r="G1103" s="4">
        <v>433.9</v>
      </c>
      <c r="H1103" t="str">
        <f t="shared" si="13"/>
        <v>TEXAS ASSOCIATION OF COUNTIES</v>
      </c>
    </row>
    <row r="1104" spans="5:8" x14ac:dyDescent="0.25">
      <c r="E1104" t="str">
        <f>""</f>
        <v/>
      </c>
      <c r="F1104" t="str">
        <f>""</f>
        <v/>
      </c>
      <c r="G1104" s="4">
        <v>202.49</v>
      </c>
      <c r="H1104" t="str">
        <f t="shared" si="13"/>
        <v>TEXAS ASSOCIATION OF COUNTIES</v>
      </c>
    </row>
    <row r="1105" spans="5:8" x14ac:dyDescent="0.25">
      <c r="E1105" t="str">
        <f>""</f>
        <v/>
      </c>
      <c r="F1105" t="str">
        <f>""</f>
        <v/>
      </c>
      <c r="G1105" s="4">
        <v>476.46</v>
      </c>
      <c r="H1105" t="str">
        <f t="shared" si="13"/>
        <v>TEXAS ASSOCIATION OF COUNTIES</v>
      </c>
    </row>
    <row r="1106" spans="5:8" x14ac:dyDescent="0.25">
      <c r="E1106" t="str">
        <f>""</f>
        <v/>
      </c>
      <c r="F1106" t="str">
        <f>""</f>
        <v/>
      </c>
      <c r="G1106" s="4">
        <v>3970.31</v>
      </c>
      <c r="H1106" t="str">
        <f t="shared" si="13"/>
        <v>TEXAS ASSOCIATION OF COUNTIES</v>
      </c>
    </row>
    <row r="1107" spans="5:8" x14ac:dyDescent="0.25">
      <c r="E1107" t="str">
        <f>""</f>
        <v/>
      </c>
      <c r="F1107" t="str">
        <f>""</f>
        <v/>
      </c>
      <c r="G1107" s="4">
        <v>1141.24</v>
      </c>
      <c r="H1107" t="str">
        <f t="shared" si="13"/>
        <v>TEXAS ASSOCIATION OF COUNTIES</v>
      </c>
    </row>
    <row r="1108" spans="5:8" x14ac:dyDescent="0.25">
      <c r="E1108" t="str">
        <f>""</f>
        <v/>
      </c>
      <c r="F1108" t="str">
        <f>""</f>
        <v/>
      </c>
      <c r="G1108" s="4">
        <v>275.45</v>
      </c>
      <c r="H1108" t="str">
        <f t="shared" si="13"/>
        <v>TEXAS ASSOCIATION OF COUNTIES</v>
      </c>
    </row>
    <row r="1109" spans="5:8" x14ac:dyDescent="0.25">
      <c r="E1109" t="str">
        <f>""</f>
        <v/>
      </c>
      <c r="F1109" t="str">
        <f>""</f>
        <v/>
      </c>
      <c r="G1109" s="4">
        <v>275.45</v>
      </c>
      <c r="H1109" t="str">
        <f t="shared" si="13"/>
        <v>TEXAS ASSOCIATION OF COUNTIES</v>
      </c>
    </row>
    <row r="1110" spans="5:8" x14ac:dyDescent="0.25">
      <c r="E1110" t="str">
        <f>""</f>
        <v/>
      </c>
      <c r="F1110" t="str">
        <f>""</f>
        <v/>
      </c>
      <c r="G1110" s="4">
        <v>275.45</v>
      </c>
      <c r="H1110" t="str">
        <f t="shared" si="13"/>
        <v>TEXAS ASSOCIATION OF COUNTIES</v>
      </c>
    </row>
    <row r="1111" spans="5:8" x14ac:dyDescent="0.25">
      <c r="E1111" t="str">
        <f>""</f>
        <v/>
      </c>
      <c r="F1111" t="str">
        <f>""</f>
        <v/>
      </c>
      <c r="G1111" s="4">
        <v>275.45</v>
      </c>
      <c r="H1111" t="str">
        <f t="shared" si="13"/>
        <v>TEXAS ASSOCIATION OF COUNTIES</v>
      </c>
    </row>
    <row r="1112" spans="5:8" x14ac:dyDescent="0.25">
      <c r="E1112" t="str">
        <f>""</f>
        <v/>
      </c>
      <c r="F1112" t="str">
        <f>""</f>
        <v/>
      </c>
      <c r="G1112" s="4">
        <v>24417.43</v>
      </c>
      <c r="H1112" t="str">
        <f t="shared" si="13"/>
        <v>TEXAS ASSOCIATION OF COUNTIES</v>
      </c>
    </row>
    <row r="1113" spans="5:8" x14ac:dyDescent="0.25">
      <c r="E1113" t="str">
        <f>""</f>
        <v/>
      </c>
      <c r="F1113" t="str">
        <f>""</f>
        <v/>
      </c>
      <c r="G1113" s="4">
        <v>1377.25</v>
      </c>
      <c r="H1113" t="str">
        <f t="shared" si="13"/>
        <v>TEXAS ASSOCIATION OF COUNTIES</v>
      </c>
    </row>
    <row r="1114" spans="5:8" x14ac:dyDescent="0.25">
      <c r="E1114" t="str">
        <f>""</f>
        <v/>
      </c>
      <c r="F1114" t="str">
        <f>""</f>
        <v/>
      </c>
      <c r="G1114" s="4">
        <v>30112.799999999999</v>
      </c>
      <c r="H1114" t="str">
        <f t="shared" si="13"/>
        <v>TEXAS ASSOCIATION OF COUNTIES</v>
      </c>
    </row>
    <row r="1115" spans="5:8" x14ac:dyDescent="0.25">
      <c r="E1115" t="str">
        <f>""</f>
        <v/>
      </c>
      <c r="F1115" t="str">
        <f>""</f>
        <v/>
      </c>
      <c r="G1115" s="4">
        <v>10449.780000000001</v>
      </c>
      <c r="H1115" t="str">
        <f t="shared" si="13"/>
        <v>TEXAS ASSOCIATION OF COUNTIES</v>
      </c>
    </row>
    <row r="1116" spans="5:8" x14ac:dyDescent="0.25">
      <c r="E1116" t="str">
        <f>""</f>
        <v/>
      </c>
      <c r="F1116" t="str">
        <f>""</f>
        <v/>
      </c>
      <c r="G1116" s="4">
        <v>57.85</v>
      </c>
      <c r="H1116" t="str">
        <f t="shared" si="13"/>
        <v>TEXAS ASSOCIATION OF COUNTIES</v>
      </c>
    </row>
    <row r="1117" spans="5:8" x14ac:dyDescent="0.25">
      <c r="E1117" t="str">
        <f>""</f>
        <v/>
      </c>
      <c r="F1117" t="str">
        <f>""</f>
        <v/>
      </c>
      <c r="G1117" s="4">
        <v>144.63</v>
      </c>
      <c r="H1117" t="str">
        <f t="shared" si="13"/>
        <v>TEXAS ASSOCIATION OF COUNTIES</v>
      </c>
    </row>
    <row r="1118" spans="5:8" x14ac:dyDescent="0.25">
      <c r="E1118" t="str">
        <f>""</f>
        <v/>
      </c>
      <c r="F1118" t="str">
        <f>""</f>
        <v/>
      </c>
      <c r="G1118" s="4">
        <v>83.46</v>
      </c>
      <c r="H1118" t="str">
        <f t="shared" si="13"/>
        <v>TEXAS ASSOCIATION OF COUNTIES</v>
      </c>
    </row>
    <row r="1119" spans="5:8" x14ac:dyDescent="0.25">
      <c r="E1119" t="str">
        <f>""</f>
        <v/>
      </c>
      <c r="F1119" t="str">
        <f>""</f>
        <v/>
      </c>
      <c r="G1119" s="4">
        <v>115.71</v>
      </c>
      <c r="H1119" t="str">
        <f t="shared" si="13"/>
        <v>TEXAS ASSOCIATION OF COUNTIES</v>
      </c>
    </row>
    <row r="1120" spans="5:8" x14ac:dyDescent="0.25">
      <c r="E1120" t="str">
        <f>""</f>
        <v/>
      </c>
      <c r="F1120" t="str">
        <f>""</f>
        <v/>
      </c>
      <c r="G1120" s="4">
        <v>83.46</v>
      </c>
      <c r="H1120" t="str">
        <f t="shared" si="13"/>
        <v>TEXAS ASSOCIATION OF COUNTIES</v>
      </c>
    </row>
    <row r="1121" spans="1:8" x14ac:dyDescent="0.25">
      <c r="E1121" t="str">
        <f>""</f>
        <v/>
      </c>
      <c r="F1121" t="str">
        <f>""</f>
        <v/>
      </c>
      <c r="G1121" s="4">
        <v>167.17</v>
      </c>
      <c r="H1121" t="str">
        <f t="shared" si="13"/>
        <v>TEXAS ASSOCIATION OF COUNTIES</v>
      </c>
    </row>
    <row r="1122" spans="1:8" x14ac:dyDescent="0.25">
      <c r="E1122" t="str">
        <f>""</f>
        <v/>
      </c>
      <c r="F1122" t="str">
        <f>""</f>
        <v/>
      </c>
      <c r="G1122" s="4">
        <v>144.63</v>
      </c>
      <c r="H1122" t="str">
        <f t="shared" si="13"/>
        <v>TEXAS ASSOCIATION OF COUNTIES</v>
      </c>
    </row>
    <row r="1123" spans="1:8" x14ac:dyDescent="0.25">
      <c r="E1123" t="str">
        <f>""</f>
        <v/>
      </c>
      <c r="F1123" t="str">
        <f>""</f>
        <v/>
      </c>
      <c r="G1123" s="4">
        <v>2742.25</v>
      </c>
      <c r="H1123" t="str">
        <f t="shared" si="13"/>
        <v>TEXAS ASSOCIATION OF COUNTIES</v>
      </c>
    </row>
    <row r="1124" spans="1:8" x14ac:dyDescent="0.25">
      <c r="E1124" t="str">
        <f>""</f>
        <v/>
      </c>
      <c r="F1124" t="str">
        <f>""</f>
        <v/>
      </c>
      <c r="G1124" s="4">
        <v>2847.73</v>
      </c>
      <c r="H1124" t="str">
        <f t="shared" si="13"/>
        <v>TEXAS ASSOCIATION OF COUNTIES</v>
      </c>
    </row>
    <row r="1125" spans="1:8" x14ac:dyDescent="0.25">
      <c r="E1125" t="str">
        <f>""</f>
        <v/>
      </c>
      <c r="F1125" t="str">
        <f>""</f>
        <v/>
      </c>
      <c r="G1125" s="4">
        <v>3645.42</v>
      </c>
      <c r="H1125" t="str">
        <f t="shared" si="13"/>
        <v>TEXAS ASSOCIATION OF COUNTIES</v>
      </c>
    </row>
    <row r="1126" spans="1:8" x14ac:dyDescent="0.25">
      <c r="E1126" t="str">
        <f>""</f>
        <v/>
      </c>
      <c r="F1126" t="str">
        <f>""</f>
        <v/>
      </c>
      <c r="G1126" s="4">
        <v>3360.24</v>
      </c>
      <c r="H1126" t="str">
        <f t="shared" si="13"/>
        <v>TEXAS ASSOCIATION OF COUNTIES</v>
      </c>
    </row>
    <row r="1127" spans="1:8" x14ac:dyDescent="0.25">
      <c r="E1127" t="str">
        <f>""</f>
        <v/>
      </c>
      <c r="F1127" t="str">
        <f>""</f>
        <v/>
      </c>
      <c r="G1127" s="4">
        <v>4137.43</v>
      </c>
      <c r="H1127" t="str">
        <f t="shared" si="13"/>
        <v>TEXAS ASSOCIATION OF COUNTIES</v>
      </c>
    </row>
    <row r="1128" spans="1:8" x14ac:dyDescent="0.25">
      <c r="E1128" t="str">
        <f>""</f>
        <v/>
      </c>
      <c r="F1128" t="str">
        <f>""</f>
        <v/>
      </c>
      <c r="G1128" s="4">
        <v>83.46</v>
      </c>
      <c r="H1128" t="str">
        <f t="shared" si="13"/>
        <v>TEXAS ASSOCIATION OF COUNTIES</v>
      </c>
    </row>
    <row r="1129" spans="1:8" x14ac:dyDescent="0.25">
      <c r="E1129" t="str">
        <f>""</f>
        <v/>
      </c>
      <c r="F1129" t="str">
        <f>""</f>
        <v/>
      </c>
      <c r="G1129" s="4">
        <v>28.93</v>
      </c>
      <c r="H1129" t="str">
        <f>"WORKER'S COMP 1ST QTR 2022"</f>
        <v>WORKER'S COMP 1ST QTR 2022</v>
      </c>
    </row>
    <row r="1130" spans="1:8" x14ac:dyDescent="0.25">
      <c r="A1130" t="s">
        <v>356</v>
      </c>
      <c r="B1130">
        <v>138480</v>
      </c>
      <c r="C1130" s="4">
        <v>415</v>
      </c>
      <c r="D1130" s="1">
        <v>44557</v>
      </c>
      <c r="E1130" t="str">
        <f>" 103440"</f>
        <v xml:space="preserve"> 103440</v>
      </c>
      <c r="F1130" t="str">
        <f>"JPCA MEMBERSHIP-AUGUST MEDUNA"</f>
        <v>JPCA MEMBERSHIP-AUGUST MEDUNA</v>
      </c>
      <c r="G1130" s="4">
        <v>60</v>
      </c>
      <c r="H1130" t="str">
        <f>"JPCA MEMBERSHIP-AUGUST MEDUNA"</f>
        <v>JPCA MEMBERSHIP-AUGUST MEDUNA</v>
      </c>
    </row>
    <row r="1131" spans="1:8" x14ac:dyDescent="0.25">
      <c r="E1131" t="str">
        <f>" 191454"</f>
        <v xml:space="preserve"> 191454</v>
      </c>
      <c r="F1131" t="str">
        <f>"JPCA MEMBERSHIP-L. DUNNE"</f>
        <v>JPCA MEMBERSHIP-L. DUNNE</v>
      </c>
      <c r="G1131" s="4">
        <v>60</v>
      </c>
      <c r="H1131" t="str">
        <f>"JPCA MEMBERSHIP-L. DUNNE"</f>
        <v>JPCA MEMBERSHIP-L. DUNNE</v>
      </c>
    </row>
    <row r="1132" spans="1:8" x14ac:dyDescent="0.25">
      <c r="E1132" t="str">
        <f>" 202785"</f>
        <v xml:space="preserve"> 202785</v>
      </c>
      <c r="F1132" t="str">
        <f>"JPCA MEMBERSHIP-R.DAVIS"</f>
        <v>JPCA MEMBERSHIP-R.DAVIS</v>
      </c>
      <c r="G1132" s="4">
        <v>60</v>
      </c>
      <c r="H1132" t="str">
        <f>"JPCA MEMBERSHIP-R.DAVIS"</f>
        <v>JPCA MEMBERSHIP-R.DAVIS</v>
      </c>
    </row>
    <row r="1133" spans="1:8" x14ac:dyDescent="0.25">
      <c r="E1133" t="str">
        <f>"21745"</f>
        <v>21745</v>
      </c>
      <c r="F1133" t="str">
        <f>"JPCA-MARILYN BURNS"</f>
        <v>JPCA-MARILYN BURNS</v>
      </c>
      <c r="G1133" s="4">
        <v>35</v>
      </c>
      <c r="H1133" t="str">
        <f>"JPCA-MARILYN BURNS"</f>
        <v>JPCA-MARILYN BURNS</v>
      </c>
    </row>
    <row r="1134" spans="1:8" x14ac:dyDescent="0.25">
      <c r="E1134" t="str">
        <f>"322016"</f>
        <v>322016</v>
      </c>
      <c r="F1134" t="str">
        <f>"MEMBER ID:255742/JO DAWN BOMAR"</f>
        <v>MEMBER ID:255742/JO DAWN BOMAR</v>
      </c>
      <c r="G1134" s="4">
        <v>200</v>
      </c>
      <c r="H1134" t="str">
        <f>"MEMBER ID:255742/JO DAWN BOMAR"</f>
        <v>MEMBER ID:255742/JO DAWN BOMAR</v>
      </c>
    </row>
    <row r="1135" spans="1:8" x14ac:dyDescent="0.25">
      <c r="A1135" t="s">
        <v>358</v>
      </c>
      <c r="B1135">
        <v>138481</v>
      </c>
      <c r="C1135" s="4">
        <v>3030</v>
      </c>
      <c r="D1135" s="1">
        <v>44557</v>
      </c>
      <c r="E1135" t="str">
        <f>"WTR0058515-517"</f>
        <v>WTR0058515-517</v>
      </c>
      <c r="F1135" t="str">
        <f>"ACCt30620010/BASTROP COUNTY"</f>
        <v>ACCt30620010/BASTROP COUNTY</v>
      </c>
      <c r="G1135" s="4">
        <v>3030</v>
      </c>
      <c r="H1135" t="str">
        <f>"ACCt30620010/BASTROP COUNTY"</f>
        <v>ACCt30620010/BASTROP COUNTY</v>
      </c>
    </row>
    <row r="1136" spans="1:8" x14ac:dyDescent="0.25">
      <c r="A1136" t="s">
        <v>359</v>
      </c>
      <c r="B1136">
        <v>138482</v>
      </c>
      <c r="C1136" s="4">
        <v>20</v>
      </c>
      <c r="D1136" s="1">
        <v>44557</v>
      </c>
      <c r="E1136" t="str">
        <f>"CRS-202111-228307"</f>
        <v>CRS-202111-228307</v>
      </c>
      <c r="F1136" t="str">
        <f>"SECURE SITE NAME SEARCH-NOV"</f>
        <v>SECURE SITE NAME SEARCH-NOV</v>
      </c>
      <c r="G1136" s="4">
        <v>20</v>
      </c>
      <c r="H1136" t="str">
        <f>"SECURE SITE NAME SEARCH-NOV"</f>
        <v>SECURE SITE NAME SEARCH-NOV</v>
      </c>
    </row>
    <row r="1137" spans="1:8" x14ac:dyDescent="0.25">
      <c r="A1137" t="s">
        <v>360</v>
      </c>
      <c r="B1137">
        <v>138320</v>
      </c>
      <c r="C1137" s="4">
        <v>167</v>
      </c>
      <c r="D1137" s="1">
        <v>44543</v>
      </c>
      <c r="E1137" t="str">
        <f>"6301163"</f>
        <v>6301163</v>
      </c>
      <c r="F1137" t="str">
        <f>"CUST#1-238865/RIVERSIDE DR"</f>
        <v>CUST#1-238865/RIVERSIDE DR</v>
      </c>
      <c r="G1137" s="4">
        <v>167</v>
      </c>
      <c r="H1137" t="str">
        <f>"CUST#1-238865/RIVERSIDE DR"</f>
        <v>CUST#1-238865/RIVERSIDE DR</v>
      </c>
    </row>
    <row r="1138" spans="1:8" x14ac:dyDescent="0.25">
      <c r="A1138" t="s">
        <v>361</v>
      </c>
      <c r="B1138">
        <v>138321</v>
      </c>
      <c r="C1138" s="4">
        <v>900</v>
      </c>
      <c r="D1138" s="1">
        <v>44543</v>
      </c>
      <c r="E1138" t="str">
        <f>"15560"</f>
        <v>15560</v>
      </c>
      <c r="F1138" t="str">
        <f>"MEMBERSHIP RENEWAL"</f>
        <v>MEMBERSHIP RENEWAL</v>
      </c>
      <c r="G1138" s="4">
        <v>525</v>
      </c>
      <c r="H1138" t="str">
        <f>"MEMBERSHIP RENEWAL"</f>
        <v>MEMBERSHIP RENEWAL</v>
      </c>
    </row>
    <row r="1139" spans="1:8" x14ac:dyDescent="0.25">
      <c r="E1139" t="str">
        <f>"15648"</f>
        <v>15648</v>
      </c>
      <c r="F1139" t="str">
        <f>"WINTER CONF REG - ADENA LEWIS"</f>
        <v>WINTER CONF REG - ADENA LEWIS</v>
      </c>
      <c r="G1139" s="4">
        <v>375</v>
      </c>
      <c r="H1139" t="str">
        <f>"WINTER CONF REG - ADENA LEWIS"</f>
        <v>WINTER CONF REG - ADENA LEWIS</v>
      </c>
    </row>
    <row r="1140" spans="1:8" x14ac:dyDescent="0.25">
      <c r="A1140" t="s">
        <v>362</v>
      </c>
      <c r="B1140">
        <v>138322</v>
      </c>
      <c r="C1140" s="4">
        <v>595</v>
      </c>
      <c r="D1140" s="1">
        <v>44543</v>
      </c>
      <c r="E1140" t="str">
        <f>"4833"</f>
        <v>4833</v>
      </c>
      <c r="F1140" t="str">
        <f>"INV 4833"</f>
        <v>INV 4833</v>
      </c>
      <c r="G1140" s="4">
        <v>595</v>
      </c>
      <c r="H1140" t="str">
        <f>"INV 4833"</f>
        <v>INV 4833</v>
      </c>
    </row>
    <row r="1141" spans="1:8" x14ac:dyDescent="0.25">
      <c r="A1141" t="s">
        <v>362</v>
      </c>
      <c r="B1141">
        <v>138483</v>
      </c>
      <c r="C1141" s="4">
        <v>2575</v>
      </c>
      <c r="D1141" s="1">
        <v>44557</v>
      </c>
      <c r="E1141" t="str">
        <f>"202112197884"</f>
        <v>202112197884</v>
      </c>
      <c r="F1141" t="str">
        <f>"TRAINING"</f>
        <v>TRAINING</v>
      </c>
      <c r="G1141" s="4">
        <v>395</v>
      </c>
      <c r="H1141" t="str">
        <f>"TRAINING M. BARNES"</f>
        <v>TRAINING M. BARNES</v>
      </c>
    </row>
    <row r="1142" spans="1:8" x14ac:dyDescent="0.25">
      <c r="E1142" t="str">
        <f>""</f>
        <v/>
      </c>
      <c r="F1142" t="str">
        <f>""</f>
        <v/>
      </c>
      <c r="G1142" s="4">
        <v>395</v>
      </c>
      <c r="H1142" t="str">
        <f>"TRAINING R. GARZA"</f>
        <v>TRAINING R. GARZA</v>
      </c>
    </row>
    <row r="1143" spans="1:8" x14ac:dyDescent="0.25">
      <c r="E1143" t="str">
        <f>"202112197885"</f>
        <v>202112197885</v>
      </c>
      <c r="F1143" t="str">
        <f>"TRAINING"</f>
        <v>TRAINING</v>
      </c>
      <c r="G1143" s="4">
        <v>595</v>
      </c>
      <c r="H1143" t="str">
        <f>"TRAINING M. BARNES"</f>
        <v>TRAINING M. BARNES</v>
      </c>
    </row>
    <row r="1144" spans="1:8" x14ac:dyDescent="0.25">
      <c r="E1144" t="str">
        <f>""</f>
        <v/>
      </c>
      <c r="F1144" t="str">
        <f>""</f>
        <v/>
      </c>
      <c r="G1144" s="4">
        <v>595</v>
      </c>
      <c r="H1144" t="str">
        <f>"TRAINING R. GARZA"</f>
        <v>TRAINING R. GARZA</v>
      </c>
    </row>
    <row r="1145" spans="1:8" x14ac:dyDescent="0.25">
      <c r="E1145" t="str">
        <f>"202112197886"</f>
        <v>202112197886</v>
      </c>
      <c r="F1145" t="str">
        <f>"TRAINING"</f>
        <v>TRAINING</v>
      </c>
      <c r="G1145" s="4">
        <v>595</v>
      </c>
      <c r="H1145" t="str">
        <f>"TRAINING"</f>
        <v>TRAINING</v>
      </c>
    </row>
    <row r="1146" spans="1:8" x14ac:dyDescent="0.25">
      <c r="A1146" t="s">
        <v>363</v>
      </c>
      <c r="B1146">
        <v>138323</v>
      </c>
      <c r="C1146" s="4">
        <v>2450.4</v>
      </c>
      <c r="D1146" s="1">
        <v>44543</v>
      </c>
      <c r="E1146" t="str">
        <f>"201007163"</f>
        <v>201007163</v>
      </c>
      <c r="F1146" t="str">
        <f>"CUST #241267 PCT#1"</f>
        <v>CUST #241267 PCT#1</v>
      </c>
      <c r="G1146" s="4">
        <v>797.4</v>
      </c>
      <c r="H1146" t="str">
        <f>"CUST #241267 PCT#1"</f>
        <v>CUST #241267 PCT#1</v>
      </c>
    </row>
    <row r="1147" spans="1:8" x14ac:dyDescent="0.25">
      <c r="E1147" t="str">
        <f>"201014011"</f>
        <v>201014011</v>
      </c>
      <c r="F1147" t="str">
        <f>"CUST#255120/PCT#2"</f>
        <v>CUST#255120/PCT#2</v>
      </c>
      <c r="G1147" s="4">
        <v>1653</v>
      </c>
      <c r="H1147" t="str">
        <f>"CUST#255120/PCT#2"</f>
        <v>CUST#255120/PCT#2</v>
      </c>
    </row>
    <row r="1148" spans="1:8" x14ac:dyDescent="0.25">
      <c r="A1148" t="s">
        <v>363</v>
      </c>
      <c r="B1148">
        <v>138484</v>
      </c>
      <c r="C1148" s="4">
        <v>1785</v>
      </c>
      <c r="D1148" s="1">
        <v>44557</v>
      </c>
      <c r="E1148" t="str">
        <f>"201015862"</f>
        <v>201015862</v>
      </c>
      <c r="F1148" t="str">
        <f>"COLD MIX / PCT #1"</f>
        <v>COLD MIX / PCT #1</v>
      </c>
      <c r="G1148" s="4">
        <v>826.8</v>
      </c>
      <c r="H1148" t="str">
        <f>"COLD MIX / PCT #1"</f>
        <v>COLD MIX / PCT #1</v>
      </c>
    </row>
    <row r="1149" spans="1:8" x14ac:dyDescent="0.25">
      <c r="E1149" t="str">
        <f>"201017385"</f>
        <v>201017385</v>
      </c>
      <c r="F1149" t="str">
        <f>"COLD MIX / PCT #1"</f>
        <v>COLD MIX / PCT #1</v>
      </c>
      <c r="G1149" s="4">
        <v>958.2</v>
      </c>
      <c r="H1149" t="str">
        <f>"COLD MIX / PCT #1"</f>
        <v>COLD MIX / PCT #1</v>
      </c>
    </row>
    <row r="1150" spans="1:8" x14ac:dyDescent="0.25">
      <c r="A1150" t="s">
        <v>364</v>
      </c>
      <c r="B1150">
        <v>138324</v>
      </c>
      <c r="C1150" s="4">
        <v>81.239999999999995</v>
      </c>
      <c r="D1150" s="1">
        <v>44543</v>
      </c>
      <c r="E1150" t="str">
        <f>"4785*98037*1"</f>
        <v>4785*98037*1</v>
      </c>
      <c r="F1150" t="str">
        <f>"JAIL MEDICAL"</f>
        <v>JAIL MEDICAL</v>
      </c>
      <c r="G1150" s="4">
        <v>81.239999999999995</v>
      </c>
      <c r="H1150" t="str">
        <f>"JAIL MEDICAL"</f>
        <v>JAIL MEDICAL</v>
      </c>
    </row>
    <row r="1151" spans="1:8" x14ac:dyDescent="0.25">
      <c r="A1151" t="s">
        <v>365</v>
      </c>
      <c r="B1151">
        <v>138325</v>
      </c>
      <c r="C1151" s="4">
        <v>386.75</v>
      </c>
      <c r="D1151" s="1">
        <v>44543</v>
      </c>
      <c r="E1151" t="str">
        <f>"J2-40912"</f>
        <v>J2-40912</v>
      </c>
      <c r="F1151" t="str">
        <f>"A8167359 - J.L LUCIO"</f>
        <v>A8167359 - J.L LUCIO</v>
      </c>
      <c r="G1151" s="4">
        <v>157.25</v>
      </c>
      <c r="H1151" t="str">
        <f>"A8167359 - J.L LUCIO"</f>
        <v>A8167359 - J.L LUCIO</v>
      </c>
    </row>
    <row r="1152" spans="1:8" x14ac:dyDescent="0.25">
      <c r="E1152" t="str">
        <f>"J2-70830"</f>
        <v>J2-70830</v>
      </c>
      <c r="F1152" t="str">
        <f>"A8353796 - P.M. MITCHELL"</f>
        <v>A8353796 - P.M. MITCHELL</v>
      </c>
      <c r="G1152" s="4">
        <v>114.75</v>
      </c>
      <c r="H1152" t="str">
        <f>"J2-70830"</f>
        <v>J2-70830</v>
      </c>
    </row>
    <row r="1153" spans="1:8" x14ac:dyDescent="0.25">
      <c r="E1153" t="str">
        <f>"J2-71332"</f>
        <v>J2-71332</v>
      </c>
      <c r="F1153" t="str">
        <f>"A8382138 - A.J. SOING"</f>
        <v>A8382138 - A.J. SOING</v>
      </c>
      <c r="G1153" s="4">
        <v>114.75</v>
      </c>
      <c r="H1153" t="str">
        <f>"A8382138 - A.J. SOING"</f>
        <v>A8382138 - A.J. SOING</v>
      </c>
    </row>
    <row r="1154" spans="1:8" x14ac:dyDescent="0.25">
      <c r="A1154" t="s">
        <v>365</v>
      </c>
      <c r="B1154">
        <v>138485</v>
      </c>
      <c r="C1154" s="4">
        <v>459</v>
      </c>
      <c r="D1154" s="1">
        <v>44557</v>
      </c>
      <c r="E1154" t="str">
        <f>"J2-71398"</f>
        <v>J2-71398</v>
      </c>
      <c r="F1154" t="str">
        <f>"A-13822 - M. LOPEZ DE MARTINEZ"</f>
        <v>A-13822 - M. LOPEZ DE MARTINEZ</v>
      </c>
      <c r="G1154" s="4">
        <v>114.75</v>
      </c>
      <c r="H1154" t="str">
        <f>"A-13822 - M. LOPEZ DE MARTINEZ"</f>
        <v>A-13822 - M. LOPEZ DE MARTINEZ</v>
      </c>
    </row>
    <row r="1155" spans="1:8" x14ac:dyDescent="0.25">
      <c r="E1155" t="str">
        <f>"J2-71399"</f>
        <v>J2-71399</v>
      </c>
      <c r="F1155" t="str">
        <f>"A-13821 - J.PEREZ-CASTILLO"</f>
        <v>A-13821 - J.PEREZ-CASTILLO</v>
      </c>
      <c r="G1155" s="4">
        <v>114.75</v>
      </c>
      <c r="H1155" t="str">
        <f>"A-13821 - J.PEREZ-CASTILLO"</f>
        <v>A-13821 - J.PEREZ-CASTILLO</v>
      </c>
    </row>
    <row r="1156" spans="1:8" x14ac:dyDescent="0.25">
      <c r="E1156" t="str">
        <f>"J2-7140"</f>
        <v>J2-7140</v>
      </c>
      <c r="F1156" t="str">
        <f>"A-13819 - G. MARQUEZ"</f>
        <v>A-13819 - G. MARQUEZ</v>
      </c>
      <c r="G1156" s="4">
        <v>114.75</v>
      </c>
      <c r="H1156" t="str">
        <f>"A-13819 - G. MARQUEZ"</f>
        <v>A-13819 - G. MARQUEZ</v>
      </c>
    </row>
    <row r="1157" spans="1:8" x14ac:dyDescent="0.25">
      <c r="E1157" t="str">
        <f>"J2-71580"</f>
        <v>J2-71580</v>
      </c>
      <c r="F1157" t="str">
        <f>"A8353763 - B. COOK"</f>
        <v>A8353763 - B. COOK</v>
      </c>
      <c r="G1157" s="4">
        <v>114.75</v>
      </c>
      <c r="H1157" t="str">
        <f>"A8353763 - B. COOK"</f>
        <v>A8353763 - B. COOK</v>
      </c>
    </row>
    <row r="1158" spans="1:8" x14ac:dyDescent="0.25">
      <c r="A1158" t="s">
        <v>366</v>
      </c>
      <c r="B1158">
        <v>138486</v>
      </c>
      <c r="C1158" s="4">
        <v>4518</v>
      </c>
      <c r="D1158" s="1">
        <v>44557</v>
      </c>
      <c r="E1158" t="str">
        <f>"121021"</f>
        <v>121021</v>
      </c>
      <c r="F1158" t="str">
        <f>"SERVICES / PCT #1"</f>
        <v>SERVICES / PCT #1</v>
      </c>
      <c r="G1158" s="4">
        <v>4518</v>
      </c>
      <c r="H1158" t="str">
        <f>"SERVICES / PCT #1"</f>
        <v>SERVICES / PCT #1</v>
      </c>
    </row>
    <row r="1159" spans="1:8" x14ac:dyDescent="0.25">
      <c r="A1159" t="s">
        <v>367</v>
      </c>
      <c r="B1159">
        <v>138326</v>
      </c>
      <c r="C1159" s="4">
        <v>7366.28</v>
      </c>
      <c r="D1159" s="1">
        <v>44543</v>
      </c>
      <c r="E1159" t="str">
        <f>"221122-FCW1"</f>
        <v>221122-FCW1</v>
      </c>
      <c r="F1159" t="str">
        <f>"INV 221122-FCW1"</f>
        <v>INV 221122-FCW1</v>
      </c>
      <c r="G1159" s="4">
        <v>500</v>
      </c>
      <c r="H1159" t="str">
        <f>"INV 221122-FCW1"</f>
        <v>INV 221122-FCW1</v>
      </c>
    </row>
    <row r="1160" spans="1:8" x14ac:dyDescent="0.25">
      <c r="E1160" t="str">
        <f>"9-5498"</f>
        <v>9-5498</v>
      </c>
      <c r="F1160" t="str">
        <f>"Monitoring - Task Order 1"</f>
        <v>Monitoring - Task Order 1</v>
      </c>
      <c r="G1160" s="4">
        <v>953.76</v>
      </c>
      <c r="H1160" t="str">
        <f>"James Bell - Hourly"</f>
        <v>James Bell - Hourly</v>
      </c>
    </row>
    <row r="1161" spans="1:8" x14ac:dyDescent="0.25">
      <c r="E1161" t="str">
        <f>""</f>
        <v/>
      </c>
      <c r="F1161" t="str">
        <f>""</f>
        <v/>
      </c>
      <c r="G1161" s="4">
        <v>145.03</v>
      </c>
      <c r="H1161" t="str">
        <f>"James Bell - Fringe"</f>
        <v>James Bell - Fringe</v>
      </c>
    </row>
    <row r="1162" spans="1:8" x14ac:dyDescent="0.25">
      <c r="E1162" t="str">
        <f>""</f>
        <v/>
      </c>
      <c r="F1162" t="str">
        <f>""</f>
        <v/>
      </c>
      <c r="G1162" s="4">
        <v>164.82</v>
      </c>
      <c r="H1162" t="str">
        <f>"James Bell - IDC"</f>
        <v>James Bell - IDC</v>
      </c>
    </row>
    <row r="1163" spans="1:8" x14ac:dyDescent="0.25">
      <c r="E1163" t="str">
        <f>""</f>
        <v/>
      </c>
      <c r="F1163" t="str">
        <f>""</f>
        <v/>
      </c>
      <c r="G1163" s="4">
        <v>834.54</v>
      </c>
      <c r="H1163" t="str">
        <f>"David Stout - Hourly"</f>
        <v>David Stout - Hourly</v>
      </c>
    </row>
    <row r="1164" spans="1:8" x14ac:dyDescent="0.25">
      <c r="E1164" t="str">
        <f>""</f>
        <v/>
      </c>
      <c r="F1164" t="str">
        <f>""</f>
        <v/>
      </c>
      <c r="G1164" s="4">
        <v>127.04</v>
      </c>
      <c r="H1164" t="str">
        <f>"David Stout - Fringe"</f>
        <v>David Stout - Fringe</v>
      </c>
    </row>
    <row r="1165" spans="1:8" x14ac:dyDescent="0.25">
      <c r="E1165" t="str">
        <f>""</f>
        <v/>
      </c>
      <c r="F1165" t="str">
        <f>""</f>
        <v/>
      </c>
      <c r="G1165" s="4">
        <v>144.24</v>
      </c>
      <c r="H1165" t="str">
        <f>"David Stout - IDC"</f>
        <v>David Stout - IDC</v>
      </c>
    </row>
    <row r="1166" spans="1:8" x14ac:dyDescent="0.25">
      <c r="E1166" t="str">
        <f>""</f>
        <v/>
      </c>
      <c r="F1166" t="str">
        <f>""</f>
        <v/>
      </c>
      <c r="G1166" s="4">
        <v>847.54</v>
      </c>
      <c r="H1166" t="str">
        <f>"M. Forstner - Hourly"</f>
        <v>M. Forstner - Hourly</v>
      </c>
    </row>
    <row r="1167" spans="1:8" x14ac:dyDescent="0.25">
      <c r="E1167" t="str">
        <f>""</f>
        <v/>
      </c>
      <c r="F1167" t="str">
        <f>""</f>
        <v/>
      </c>
      <c r="G1167" s="4">
        <v>77.44</v>
      </c>
      <c r="H1167" t="str">
        <f>"M. Forstner - Fringe"</f>
        <v>M. Forstner - Fringe</v>
      </c>
    </row>
    <row r="1168" spans="1:8" x14ac:dyDescent="0.25">
      <c r="E1168" t="str">
        <f>""</f>
        <v/>
      </c>
      <c r="F1168" t="str">
        <f>""</f>
        <v/>
      </c>
      <c r="G1168" s="4">
        <v>138.75</v>
      </c>
      <c r="H1168" t="str">
        <f>"M. Forstner - IDC"</f>
        <v>M. Forstner - IDC</v>
      </c>
    </row>
    <row r="1169" spans="1:8" x14ac:dyDescent="0.25">
      <c r="E1169" t="str">
        <f>""</f>
        <v/>
      </c>
      <c r="F1169" t="str">
        <f>""</f>
        <v/>
      </c>
      <c r="G1169" s="4">
        <v>-0.02</v>
      </c>
      <c r="H1169" t="str">
        <f>"Adjustment"</f>
        <v>Adjustment</v>
      </c>
    </row>
    <row r="1170" spans="1:8" x14ac:dyDescent="0.25">
      <c r="E1170" t="str">
        <f>"9-5498 2"</f>
        <v>9-5498 2</v>
      </c>
      <c r="F1170" t="str">
        <f>"Task Order #1"</f>
        <v>Task Order #1</v>
      </c>
      <c r="G1170" s="4">
        <v>3433.14</v>
      </c>
      <c r="H1170" t="str">
        <f>"Task Order #1"</f>
        <v>Task Order #1</v>
      </c>
    </row>
    <row r="1171" spans="1:8" x14ac:dyDescent="0.25">
      <c r="A1171" t="s">
        <v>368</v>
      </c>
      <c r="B1171">
        <v>5581</v>
      </c>
      <c r="C1171" s="4">
        <v>594.21</v>
      </c>
      <c r="D1171" s="1">
        <v>44558</v>
      </c>
      <c r="E1171" t="str">
        <f>"202112207951"</f>
        <v>202112207951</v>
      </c>
      <c r="F1171" t="str">
        <f>"INDIGENT HEALTH"</f>
        <v>INDIGENT HEALTH</v>
      </c>
      <c r="G1171" s="4">
        <v>594.21</v>
      </c>
      <c r="H1171" t="str">
        <f>"INDIGENT HEALTH"</f>
        <v>INDIGENT HEALTH</v>
      </c>
    </row>
    <row r="1172" spans="1:8" x14ac:dyDescent="0.25">
      <c r="A1172" t="s">
        <v>369</v>
      </c>
      <c r="B1172">
        <v>138327</v>
      </c>
      <c r="C1172" s="4">
        <v>49.96</v>
      </c>
      <c r="D1172" s="1">
        <v>44543</v>
      </c>
      <c r="E1172" t="str">
        <f>"E 12386"</f>
        <v>E 12386</v>
      </c>
      <c r="F1172" t="str">
        <f>"LADIES GOLF SHIRTS/OFF OF EM"</f>
        <v>LADIES GOLF SHIRTS/OFF OF EM</v>
      </c>
      <c r="G1172" s="4">
        <v>49.96</v>
      </c>
      <c r="H1172" t="str">
        <f>"LADIES GOLF SHIRTS/OFF OF EM"</f>
        <v>LADIES GOLF SHIRTS/OFF OF EM</v>
      </c>
    </row>
    <row r="1173" spans="1:8" x14ac:dyDescent="0.25">
      <c r="A1173" t="s">
        <v>370</v>
      </c>
      <c r="B1173">
        <v>5502</v>
      </c>
      <c r="C1173" s="4">
        <v>2224</v>
      </c>
      <c r="D1173" s="1">
        <v>44544</v>
      </c>
      <c r="E1173" t="str">
        <f>"281201"</f>
        <v>281201</v>
      </c>
      <c r="F1173" t="str">
        <f>"ACCT#188757/JUVENILE BT CMP"</f>
        <v>ACCT#188757/JUVENILE BT CMP</v>
      </c>
      <c r="G1173" s="4">
        <v>118.5</v>
      </c>
      <c r="H1173" t="str">
        <f>"ACCT#188757/JUVENILE BT CMP"</f>
        <v>ACCT#188757/JUVENILE BT CMP</v>
      </c>
    </row>
    <row r="1174" spans="1:8" x14ac:dyDescent="0.25">
      <c r="E1174" t="str">
        <f>"281202"</f>
        <v>281202</v>
      </c>
      <c r="F1174" t="str">
        <f>"ACCT#188757/RD&amp;BRIDGE OFFICE"</f>
        <v>ACCT#188757/RD&amp;BRIDGE OFFICE</v>
      </c>
      <c r="G1174" s="4">
        <v>95</v>
      </c>
      <c r="H1174" t="str">
        <f>"ACCT#188757/RD&amp;BRIDGE OFFICE"</f>
        <v>ACCT#188757/RD&amp;BRIDGE OFFICE</v>
      </c>
    </row>
    <row r="1175" spans="1:8" x14ac:dyDescent="0.25">
      <c r="E1175" t="str">
        <f>"281203"</f>
        <v>281203</v>
      </c>
      <c r="F1175" t="str">
        <f>"ACCT#188757/ANIMAL SHELTER"</f>
        <v>ACCT#188757/ANIMAL SHELTER</v>
      </c>
      <c r="G1175" s="4">
        <v>290</v>
      </c>
      <c r="H1175" t="str">
        <f>"ACCT#188757/ANIMAL SHELTER"</f>
        <v>ACCT#188757/ANIMAL SHELTER</v>
      </c>
    </row>
    <row r="1176" spans="1:8" x14ac:dyDescent="0.25">
      <c r="E1176" t="str">
        <f>"286891"</f>
        <v>286891</v>
      </c>
      <c r="F1176" t="str">
        <f>"ACCT#188757/PCT4 RD &amp; BRIDGE"</f>
        <v>ACCT#188757/PCT4 RD &amp; BRIDGE</v>
      </c>
      <c r="G1176" s="4">
        <v>95.5</v>
      </c>
      <c r="H1176" t="str">
        <f>"ACCT#188757/PCT4 RD &amp; BRIDGE"</f>
        <v>ACCT#188757/PCT4 RD &amp; BRIDGE</v>
      </c>
    </row>
    <row r="1177" spans="1:8" x14ac:dyDescent="0.25">
      <c r="E1177" t="str">
        <f>"286920"</f>
        <v>286920</v>
      </c>
      <c r="F1177" t="str">
        <f>"ACCT#188757/LBJ BLDG/HLTH DEPT"</f>
        <v>ACCT#188757/LBJ BLDG/HLTH DEPT</v>
      </c>
      <c r="G1177" s="4">
        <v>69</v>
      </c>
      <c r="H1177" t="str">
        <f>"ACCT#188757/LBJ BLDG/HLTH DEPT"</f>
        <v>ACCT#188757/LBJ BLDG/HLTH DEPT</v>
      </c>
    </row>
    <row r="1178" spans="1:8" x14ac:dyDescent="0.25">
      <c r="E1178" t="str">
        <f>"287822"</f>
        <v>287822</v>
      </c>
      <c r="F1178" t="str">
        <f>"ACCT#188757/RD&amp;BRIDGE/SIGN SHP"</f>
        <v>ACCT#188757/RD&amp;BRIDGE/SIGN SHP</v>
      </c>
      <c r="G1178" s="4">
        <v>95</v>
      </c>
      <c r="H1178" t="str">
        <f>"ACCT#188757/RD&amp;BRIDGE/SIGN SHP"</f>
        <v>ACCT#188757/RD&amp;BRIDGE/SIGN SHP</v>
      </c>
    </row>
    <row r="1179" spans="1:8" x14ac:dyDescent="0.25">
      <c r="E1179" t="str">
        <f>"287929"</f>
        <v>287929</v>
      </c>
      <c r="F1179" t="str">
        <f>"ACCT#188757/ANIMAL SHELTER"</f>
        <v>ACCT#188757/ANIMAL SHELTER</v>
      </c>
      <c r="G1179" s="4">
        <v>290</v>
      </c>
      <c r="H1179" t="str">
        <f>"ACCT#188757/ANIMAL SHELTER"</f>
        <v>ACCT#188757/ANIMAL SHELTER</v>
      </c>
    </row>
    <row r="1180" spans="1:8" x14ac:dyDescent="0.25">
      <c r="E1180" t="str">
        <f>"290021"</f>
        <v>290021</v>
      </c>
      <c r="F1180" t="str">
        <f>"ACCT#188757/COURTHOUSE"</f>
        <v>ACCT#188757/COURTHOUSE</v>
      </c>
      <c r="G1180" s="4">
        <v>486</v>
      </c>
      <c r="H1180" t="str">
        <f>"ACCT#188757/COURTHOUSE"</f>
        <v>ACCT#188757/COURTHOUSE</v>
      </c>
    </row>
    <row r="1181" spans="1:8" x14ac:dyDescent="0.25">
      <c r="E1181" t="str">
        <f>"291353"</f>
        <v>291353</v>
      </c>
      <c r="F1181" t="str">
        <f>"ACCT#188757/LOST PINES PARK"</f>
        <v>ACCT#188757/LOST PINES PARK</v>
      </c>
      <c r="G1181" s="4">
        <v>75</v>
      </c>
      <c r="H1181" t="str">
        <f>"ACCT#188757/LOST PINES PARK"</f>
        <v>ACCT#188757/LOST PINES PARK</v>
      </c>
    </row>
    <row r="1182" spans="1:8" x14ac:dyDescent="0.25">
      <c r="E1182" t="str">
        <f>"291521"</f>
        <v>291521</v>
      </c>
      <c r="F1182" t="str">
        <f>"ACCT#188757/CEDAR CREEK PARK"</f>
        <v>ACCT#188757/CEDAR CREEK PARK</v>
      </c>
      <c r="G1182" s="4">
        <v>125</v>
      </c>
      <c r="H1182" t="str">
        <f>"ACCT#188757/CEDAR CREEK PARK"</f>
        <v>ACCT#188757/CEDAR CREEK PARK</v>
      </c>
    </row>
    <row r="1183" spans="1:8" x14ac:dyDescent="0.25">
      <c r="E1183" t="str">
        <f>"291529"</f>
        <v>291529</v>
      </c>
      <c r="F1183" t="str">
        <f>"ACCT#188757/DPS/TDL"</f>
        <v>ACCT#188757/DPS/TDL</v>
      </c>
      <c r="G1183" s="4">
        <v>76</v>
      </c>
      <c r="H1183" t="str">
        <f>"ACCT#188757/DPS/TDL"</f>
        <v>ACCT#188757/DPS/TDL</v>
      </c>
    </row>
    <row r="1184" spans="1:8" x14ac:dyDescent="0.25">
      <c r="E1184" t="str">
        <f>"291551"</f>
        <v>291551</v>
      </c>
      <c r="F1184" t="str">
        <f>"ACCT#188757/JUVENILE PROB"</f>
        <v>ACCT#188757/JUVENILE PROB</v>
      </c>
      <c r="G1184" s="4">
        <v>132</v>
      </c>
      <c r="H1184" t="str">
        <f>"ACCT#188757/JUVENILE PROB"</f>
        <v>ACCT#188757/JUVENILE PROB</v>
      </c>
    </row>
    <row r="1185" spans="1:8" x14ac:dyDescent="0.25">
      <c r="E1185" t="str">
        <f>"291568"</f>
        <v>291568</v>
      </c>
      <c r="F1185" t="str">
        <f>"ACCT#188757/HISTORIC JAIL"</f>
        <v>ACCT#188757/HISTORIC JAIL</v>
      </c>
      <c r="G1185" s="4">
        <v>76</v>
      </c>
      <c r="H1185" t="str">
        <f>"ACCT#188757/HISTORIC JAIL"</f>
        <v>ACCT#188757/HISTORIC JAIL</v>
      </c>
    </row>
    <row r="1186" spans="1:8" x14ac:dyDescent="0.25">
      <c r="E1186" t="str">
        <f>"291590"</f>
        <v>291590</v>
      </c>
      <c r="F1186" t="str">
        <f>"ACCT#188757/EXT HABITAT BLDG"</f>
        <v>ACCT#188757/EXT HABITAT BLDG</v>
      </c>
      <c r="G1186" s="4">
        <v>89</v>
      </c>
      <c r="H1186" t="str">
        <f>"ACCT#188757/EXT HABITAT BLDG"</f>
        <v>ACCT#188757/EXT HABITAT BLDG</v>
      </c>
    </row>
    <row r="1187" spans="1:8" x14ac:dyDescent="0.25">
      <c r="E1187" t="str">
        <f>"291607"</f>
        <v>291607</v>
      </c>
      <c r="F1187" t="str">
        <f>"ACCT#188757/MIKE FISHER BLDG"</f>
        <v>ACCT#188757/MIKE FISHER BLDG</v>
      </c>
      <c r="G1187" s="4">
        <v>112</v>
      </c>
      <c r="H1187" t="str">
        <f>"ACCT#188757/MIKE FISHER BLDG"</f>
        <v>ACCT#188757/MIKE FISHER BLDG</v>
      </c>
    </row>
    <row r="1188" spans="1:8" x14ac:dyDescent="0.25">
      <c r="A1188" t="s">
        <v>370</v>
      </c>
      <c r="B1188">
        <v>5574</v>
      </c>
      <c r="C1188" s="4">
        <v>197</v>
      </c>
      <c r="D1188" s="1">
        <v>44558</v>
      </c>
      <c r="E1188" t="str">
        <f>"292481"</f>
        <v>292481</v>
      </c>
      <c r="F1188" t="str">
        <f>"ACCT#188757/TAX OFFICE"</f>
        <v>ACCT#188757/TAX OFFICE</v>
      </c>
      <c r="G1188" s="4">
        <v>102</v>
      </c>
      <c r="H1188" t="str">
        <f>"ACCT#188757/TAX OFFICE"</f>
        <v>ACCT#188757/TAX OFFICE</v>
      </c>
    </row>
    <row r="1189" spans="1:8" x14ac:dyDescent="0.25">
      <c r="E1189" t="str">
        <f>"292695"</f>
        <v>292695</v>
      </c>
      <c r="F1189" t="str">
        <f>"ACCT#188757/PCT 3 WAREHOUSE"</f>
        <v>ACCT#188757/PCT 3 WAREHOUSE</v>
      </c>
      <c r="G1189" s="4">
        <v>95</v>
      </c>
      <c r="H1189" t="str">
        <f>"ACCT#188757/PCT 3 WAREHOUSE"</f>
        <v>ACCT#188757/PCT 3 WAREHOUSE</v>
      </c>
    </row>
    <row r="1190" spans="1:8" x14ac:dyDescent="0.25">
      <c r="A1190" t="s">
        <v>371</v>
      </c>
      <c r="B1190">
        <v>5566</v>
      </c>
      <c r="C1190" s="4">
        <v>750</v>
      </c>
      <c r="D1190" s="1">
        <v>44558</v>
      </c>
      <c r="E1190" t="str">
        <f>"202112167827"</f>
        <v>202112167827</v>
      </c>
      <c r="F1190" t="str">
        <f>"JP111252019A"</f>
        <v>JP111252019A</v>
      </c>
      <c r="G1190" s="4">
        <v>250</v>
      </c>
      <c r="H1190" t="str">
        <f>"JP111252019A"</f>
        <v>JP111252019A</v>
      </c>
    </row>
    <row r="1191" spans="1:8" x14ac:dyDescent="0.25">
      <c r="E1191" t="str">
        <f>"202112167828"</f>
        <v>202112167828</v>
      </c>
      <c r="F1191" t="str">
        <f>"CC2019027E"</f>
        <v>CC2019027E</v>
      </c>
      <c r="G1191" s="4">
        <v>500</v>
      </c>
      <c r="H1191" t="str">
        <f>"CC2019027E"</f>
        <v>CC2019027E</v>
      </c>
    </row>
    <row r="1192" spans="1:8" x14ac:dyDescent="0.25">
      <c r="A1192" t="s">
        <v>371</v>
      </c>
      <c r="B1192">
        <v>138328</v>
      </c>
      <c r="C1192" s="4">
        <v>12150</v>
      </c>
      <c r="D1192" s="1">
        <v>44543</v>
      </c>
      <c r="E1192" t="str">
        <f>"202111307478"</f>
        <v>202111307478</v>
      </c>
      <c r="F1192" t="str">
        <f>"1968-21  423-8210"</f>
        <v>1968-21  423-8210</v>
      </c>
      <c r="G1192" s="4">
        <v>200</v>
      </c>
      <c r="H1192" t="str">
        <f>"1968-21  423-8210"</f>
        <v>1968-21  423-8210</v>
      </c>
    </row>
    <row r="1193" spans="1:8" x14ac:dyDescent="0.25">
      <c r="E1193" t="str">
        <f>"202111307479"</f>
        <v>202111307479</v>
      </c>
      <c r="F1193" t="str">
        <f>"17 406"</f>
        <v>17 406</v>
      </c>
      <c r="G1193" s="4">
        <v>3000</v>
      </c>
      <c r="H1193" t="str">
        <f>"17 406"</f>
        <v>17 406</v>
      </c>
    </row>
    <row r="1194" spans="1:8" x14ac:dyDescent="0.25">
      <c r="E1194" t="str">
        <f>"202111307480"</f>
        <v>202111307480</v>
      </c>
      <c r="F1194" t="str">
        <f>"20-20262"</f>
        <v>20-20262</v>
      </c>
      <c r="G1194" s="4">
        <v>675</v>
      </c>
      <c r="H1194" t="str">
        <f>"20-20262"</f>
        <v>20-20262</v>
      </c>
    </row>
    <row r="1195" spans="1:8" x14ac:dyDescent="0.25">
      <c r="E1195" t="str">
        <f>"202111307481"</f>
        <v>202111307481</v>
      </c>
      <c r="F1195" t="str">
        <f>"21-20839"</f>
        <v>21-20839</v>
      </c>
      <c r="G1195" s="4">
        <v>675</v>
      </c>
      <c r="H1195" t="str">
        <f>"21-20839"</f>
        <v>21-20839</v>
      </c>
    </row>
    <row r="1196" spans="1:8" x14ac:dyDescent="0.25">
      <c r="E1196" t="str">
        <f>"202111307482"</f>
        <v>202111307482</v>
      </c>
      <c r="F1196" t="str">
        <f>"20-20030"</f>
        <v>20-20030</v>
      </c>
      <c r="G1196" s="4">
        <v>4125</v>
      </c>
      <c r="H1196" t="str">
        <f>"20-20030"</f>
        <v>20-20030</v>
      </c>
    </row>
    <row r="1197" spans="1:8" x14ac:dyDescent="0.25">
      <c r="E1197" t="str">
        <f>"202112027594"</f>
        <v>202112027594</v>
      </c>
      <c r="F1197" t="str">
        <f>"423-8218  17 287"</f>
        <v>423-8218  17 287</v>
      </c>
      <c r="G1197" s="4">
        <v>200</v>
      </c>
      <c r="H1197" t="str">
        <f>"423-8218  17 287"</f>
        <v>423-8218  17 287</v>
      </c>
    </row>
    <row r="1198" spans="1:8" x14ac:dyDescent="0.25">
      <c r="E1198" t="str">
        <f>"202112027595"</f>
        <v>202112027595</v>
      </c>
      <c r="F1198" t="str">
        <f>"1971-21"</f>
        <v>1971-21</v>
      </c>
      <c r="G1198" s="4">
        <v>200</v>
      </c>
      <c r="H1198" t="str">
        <f>"1971-21"</f>
        <v>1971-21</v>
      </c>
    </row>
    <row r="1199" spans="1:8" x14ac:dyDescent="0.25">
      <c r="E1199" t="str">
        <f>"202112027636"</f>
        <v>202112027636</v>
      </c>
      <c r="F1199" t="str">
        <f>"17 133 JP3-306012021C JP330601"</f>
        <v>17 133 JP3-306012021C JP330601</v>
      </c>
      <c r="G1199" s="4">
        <v>1000</v>
      </c>
      <c r="H1199" t="str">
        <f>"17 133 JP3-306012021C JP330601"</f>
        <v>17 133 JP3-306012021C JP330601</v>
      </c>
    </row>
    <row r="1200" spans="1:8" x14ac:dyDescent="0.25">
      <c r="E1200" t="str">
        <f>"202112087704"</f>
        <v>202112087704</v>
      </c>
      <c r="F1200" t="str">
        <f>"21-21018"</f>
        <v>21-21018</v>
      </c>
      <c r="G1200" s="4">
        <v>150</v>
      </c>
      <c r="H1200" t="str">
        <f>"21-21018"</f>
        <v>21-21018</v>
      </c>
    </row>
    <row r="1201" spans="1:8" x14ac:dyDescent="0.25">
      <c r="E1201" t="str">
        <f>"202112087705"</f>
        <v>202112087705</v>
      </c>
      <c r="F1201" t="str">
        <f>"21-20594"</f>
        <v>21-20594</v>
      </c>
      <c r="G1201" s="4">
        <v>150</v>
      </c>
      <c r="H1201" t="str">
        <f>"21-20594"</f>
        <v>21-20594</v>
      </c>
    </row>
    <row r="1202" spans="1:8" x14ac:dyDescent="0.25">
      <c r="E1202" t="str">
        <f>"202112087706"</f>
        <v>202112087706</v>
      </c>
      <c r="F1202" t="str">
        <f>"20-20030"</f>
        <v>20-20030</v>
      </c>
      <c r="G1202" s="4">
        <v>500</v>
      </c>
      <c r="H1202" t="str">
        <f>"20-20030"</f>
        <v>20-20030</v>
      </c>
    </row>
    <row r="1203" spans="1:8" x14ac:dyDescent="0.25">
      <c r="E1203" t="str">
        <f>"202112087707"</f>
        <v>202112087707</v>
      </c>
      <c r="F1203" t="str">
        <f>"20-20262"</f>
        <v>20-20262</v>
      </c>
      <c r="G1203" s="4">
        <v>1275</v>
      </c>
      <c r="H1203" t="str">
        <f>"20-20262"</f>
        <v>20-20262</v>
      </c>
    </row>
    <row r="1204" spans="1:8" x14ac:dyDescent="0.25">
      <c r="A1204" t="s">
        <v>372</v>
      </c>
      <c r="B1204">
        <v>5547</v>
      </c>
      <c r="C1204" s="4">
        <v>50</v>
      </c>
      <c r="D1204" s="1">
        <v>44544</v>
      </c>
      <c r="E1204" t="str">
        <f>"72418919"</f>
        <v>72418919</v>
      </c>
      <c r="F1204" t="str">
        <f>"ACCT#BASTRCOU/KRYSTAL STABENO"</f>
        <v>ACCT#BASTRCOU/KRYSTAL STABENO</v>
      </c>
      <c r="G1204" s="4">
        <v>50</v>
      </c>
      <c r="H1204" t="str">
        <f>"ACCT#BASTRCOU/KRYSTAL STABENO"</f>
        <v>ACCT#BASTRCOU/KRYSTAL STABENO</v>
      </c>
    </row>
    <row r="1205" spans="1:8" x14ac:dyDescent="0.25">
      <c r="A1205" t="s">
        <v>373</v>
      </c>
      <c r="B1205">
        <v>138329</v>
      </c>
      <c r="C1205" s="4">
        <v>698.27</v>
      </c>
      <c r="D1205" s="1">
        <v>44543</v>
      </c>
      <c r="E1205" t="str">
        <f>"91635475"</f>
        <v>91635475</v>
      </c>
      <c r="F1205" t="str">
        <f>"INV 91635475"</f>
        <v>INV 91635475</v>
      </c>
      <c r="G1205" s="4">
        <v>698.27</v>
      </c>
      <c r="H1205" t="str">
        <f>"INV 91635475"</f>
        <v>INV 91635475</v>
      </c>
    </row>
    <row r="1206" spans="1:8" x14ac:dyDescent="0.25">
      <c r="A1206" t="s">
        <v>374</v>
      </c>
      <c r="B1206">
        <v>138487</v>
      </c>
      <c r="C1206" s="4">
        <v>150</v>
      </c>
      <c r="D1206" s="1">
        <v>44557</v>
      </c>
      <c r="E1206" t="str">
        <f>"202112197871"</f>
        <v>202112197871</v>
      </c>
      <c r="F1206" t="str">
        <f>"OVERPAYMENT OF APPLICATION FEE"</f>
        <v>OVERPAYMENT OF APPLICATION FEE</v>
      </c>
      <c r="G1206" s="4">
        <v>150</v>
      </c>
      <c r="H1206" t="str">
        <f>"OVERPAYMENT OF APPLICATION FEE"</f>
        <v>OVERPAYMENT OF APPLICATION FEE</v>
      </c>
    </row>
    <row r="1207" spans="1:8" x14ac:dyDescent="0.25">
      <c r="A1207" t="s">
        <v>375</v>
      </c>
      <c r="B1207">
        <v>138488</v>
      </c>
      <c r="C1207" s="4">
        <v>4553.5200000000004</v>
      </c>
      <c r="D1207" s="1">
        <v>44557</v>
      </c>
      <c r="E1207" t="str">
        <f>"843910273"</f>
        <v>843910273</v>
      </c>
      <c r="F1207" t="str">
        <f>"ACCT#1000648597/FEB 2021"</f>
        <v>ACCT#1000648597/FEB 2021</v>
      </c>
      <c r="G1207" s="4">
        <v>600</v>
      </c>
      <c r="H1207" t="str">
        <f>"WEST INFO CHARGES/FEB 2021"</f>
        <v>WEST INFO CHARGES/FEB 2021</v>
      </c>
    </row>
    <row r="1208" spans="1:8" x14ac:dyDescent="0.25">
      <c r="E1208" t="str">
        <f>"844263391"</f>
        <v>844263391</v>
      </c>
      <c r="F1208" t="str">
        <f>"ACCT#1000648597/APRIL 2021"</f>
        <v>ACCT#1000648597/APRIL 2021</v>
      </c>
      <c r="G1208" s="4">
        <v>600</v>
      </c>
      <c r="H1208" t="str">
        <f>"ACCT#1000648597/APRIL 2021"</f>
        <v>ACCT#1000648597/APRIL 2021</v>
      </c>
    </row>
    <row r="1209" spans="1:8" x14ac:dyDescent="0.25">
      <c r="E1209" t="str">
        <f>"844425703"</f>
        <v>844425703</v>
      </c>
      <c r="F1209" t="str">
        <f>"ACCT#1000648957/MAY 2021"</f>
        <v>ACCT#1000648957/MAY 2021</v>
      </c>
      <c r="G1209" s="4">
        <v>600</v>
      </c>
      <c r="H1209" t="str">
        <f>"ACCT#1000648957/MAY 2021"</f>
        <v>ACCT#1000648957/MAY 2021</v>
      </c>
    </row>
    <row r="1210" spans="1:8" x14ac:dyDescent="0.25">
      <c r="E1210" t="str">
        <f>"844592403"</f>
        <v>844592403</v>
      </c>
      <c r="F1210" t="str">
        <f>"ACCT#1000648597/ONLINE SOFTWAR"</f>
        <v>ACCT#1000648597/ONLINE SOFTWAR</v>
      </c>
      <c r="G1210" s="4">
        <v>600</v>
      </c>
      <c r="H1210" t="str">
        <f>"ACCT#1000648597/ONLINE SOFTWAR"</f>
        <v>ACCT#1000648597/ONLINE SOFTWAR</v>
      </c>
    </row>
    <row r="1211" spans="1:8" x14ac:dyDescent="0.25">
      <c r="E1211" t="str">
        <f>"844752942"</f>
        <v>844752942</v>
      </c>
      <c r="F1211" t="str">
        <f>"ACCT#1000648597/ONLINE SOFTWAR"</f>
        <v>ACCT#1000648597/ONLINE SOFTWAR</v>
      </c>
      <c r="G1211" s="4">
        <v>600</v>
      </c>
      <c r="H1211" t="str">
        <f>"ACCT#1000648597/ONLINE SOFTWAR"</f>
        <v>ACCT#1000648597/ONLINE SOFTWAR</v>
      </c>
    </row>
    <row r="1212" spans="1:8" x14ac:dyDescent="0.25">
      <c r="E1212" t="str">
        <f>"844915840"</f>
        <v>844915840</v>
      </c>
      <c r="F1212" t="str">
        <f>"ACCT#1000648597/ONLINE SOFTWAR"</f>
        <v>ACCT#1000648597/ONLINE SOFTWAR</v>
      </c>
      <c r="G1212" s="4">
        <v>600</v>
      </c>
      <c r="H1212" t="str">
        <f>"ACCT#1000648597/ONLINE SOFTWAR"</f>
        <v>ACCT#1000648597/ONLINE SOFTWAR</v>
      </c>
    </row>
    <row r="1213" spans="1:8" x14ac:dyDescent="0.25">
      <c r="E1213" t="str">
        <f>"845427321"</f>
        <v>845427321</v>
      </c>
      <c r="F1213" t="str">
        <f>"ACCT#845427321/ONLINE SOFTWARE"</f>
        <v>ACCT#845427321/ONLINE SOFTWARE</v>
      </c>
      <c r="G1213" s="4">
        <v>864.52</v>
      </c>
      <c r="H1213" t="str">
        <f>"ACCT#845427321/ONLINE SOFTWARE"</f>
        <v>ACCT#845427321/ONLINE SOFTWARE</v>
      </c>
    </row>
    <row r="1214" spans="1:8" x14ac:dyDescent="0.25">
      <c r="E1214" t="str">
        <f>"845541382"</f>
        <v>845541382</v>
      </c>
      <c r="F1214" t="str">
        <f>"ACCT#1003836657/AUDITOR"</f>
        <v>ACCT#1003836657/AUDITOR</v>
      </c>
      <c r="G1214" s="4">
        <v>89</v>
      </c>
      <c r="H1214" t="str">
        <f>"ACCT#1003836657/AUDITOR"</f>
        <v>ACCT#1003836657/AUDITOR</v>
      </c>
    </row>
    <row r="1215" spans="1:8" x14ac:dyDescent="0.25">
      <c r="A1215" t="s">
        <v>376</v>
      </c>
      <c r="B1215">
        <v>138330</v>
      </c>
      <c r="C1215" s="4">
        <v>635.07000000000005</v>
      </c>
      <c r="D1215" s="1">
        <v>44543</v>
      </c>
      <c r="E1215" t="str">
        <f>"0167100111621"</f>
        <v>0167100111621</v>
      </c>
      <c r="F1215" t="str">
        <f>"ACCT#8260 16 017 0167100"</f>
        <v>ACCT#8260 16 017 0167100</v>
      </c>
      <c r="G1215" s="4">
        <v>635.07000000000005</v>
      </c>
      <c r="H1215" t="str">
        <f>"ACCT#8260 16 017 0167100"</f>
        <v>ACCT#8260 16 017 0167100</v>
      </c>
    </row>
    <row r="1216" spans="1:8" x14ac:dyDescent="0.25">
      <c r="A1216" t="s">
        <v>376</v>
      </c>
      <c r="B1216">
        <v>138489</v>
      </c>
      <c r="C1216" s="4">
        <v>4145.97</v>
      </c>
      <c r="D1216" s="1">
        <v>44557</v>
      </c>
      <c r="E1216" t="str">
        <f>"0003669120821"</f>
        <v>0003669120821</v>
      </c>
      <c r="F1216" t="str">
        <f>"ACCT#8260163000003669"</f>
        <v>ACCT#8260163000003669</v>
      </c>
      <c r="G1216" s="4">
        <v>3248.86</v>
      </c>
      <c r="H1216" t="str">
        <f>"ACCT#8260163000003669"</f>
        <v>ACCT#8260163000003669</v>
      </c>
    </row>
    <row r="1217" spans="1:8" x14ac:dyDescent="0.25">
      <c r="E1217" t="str">
        <f>""</f>
        <v/>
      </c>
      <c r="F1217" t="str">
        <f>""</f>
        <v/>
      </c>
      <c r="G1217" s="4">
        <v>153.72</v>
      </c>
      <c r="H1217" t="str">
        <f>"ACCT#8260163000003669"</f>
        <v>ACCT#8260163000003669</v>
      </c>
    </row>
    <row r="1218" spans="1:8" x14ac:dyDescent="0.25">
      <c r="E1218" t="str">
        <f>"0164314120921"</f>
        <v>0164314120921</v>
      </c>
      <c r="F1218" t="str">
        <f>"ACCT#8260 16 111 0164314"</f>
        <v>ACCT#8260 16 111 0164314</v>
      </c>
      <c r="G1218" s="4">
        <v>668.43</v>
      </c>
      <c r="H1218" t="str">
        <f>"ACCT#8260 16 111 0164314"</f>
        <v>ACCT#8260 16 111 0164314</v>
      </c>
    </row>
    <row r="1219" spans="1:8" x14ac:dyDescent="0.25">
      <c r="E1219" t="str">
        <f>"0194162120621"</f>
        <v>0194162120621</v>
      </c>
      <c r="F1219" t="str">
        <f>"ACCT#8260 16 111 0194162"</f>
        <v>ACCT#8260 16 111 0194162</v>
      </c>
      <c r="G1219" s="4">
        <v>74.959999999999994</v>
      </c>
      <c r="H1219" t="str">
        <f>"ACCT#8260 16 111 0194162"</f>
        <v>ACCT#8260 16 111 0194162</v>
      </c>
    </row>
    <row r="1220" spans="1:8" x14ac:dyDescent="0.25">
      <c r="A1220" t="s">
        <v>377</v>
      </c>
      <c r="B1220">
        <v>138331</v>
      </c>
      <c r="C1220" s="4">
        <v>2281.38</v>
      </c>
      <c r="D1220" s="1">
        <v>44543</v>
      </c>
      <c r="E1220" t="str">
        <f>"034473"</f>
        <v>034473</v>
      </c>
      <c r="F1220" t="str">
        <f>"CUST#0001725/HD LINER/DRUM LIN"</f>
        <v>CUST#0001725/HD LINER/DRUM LIN</v>
      </c>
      <c r="G1220" s="4">
        <v>1744.3</v>
      </c>
      <c r="H1220" t="str">
        <f>"CUST#0001725/HD LINER/DRUM LIN"</f>
        <v>CUST#0001725/HD LINER/DRUM LIN</v>
      </c>
    </row>
    <row r="1221" spans="1:8" x14ac:dyDescent="0.25">
      <c r="E1221" t="str">
        <f>"034535"</f>
        <v>034535</v>
      </c>
      <c r="F1221" t="str">
        <f>"CUST#0001725/CLEANING SUPPLIES"</f>
        <v>CUST#0001725/CLEANING SUPPLIES</v>
      </c>
      <c r="G1221" s="4">
        <v>537.08000000000004</v>
      </c>
      <c r="H1221" t="str">
        <f>"CUST#0001725/CLEANING SUPPLIES"</f>
        <v>CUST#0001725/CLEANING SUPPLIES</v>
      </c>
    </row>
    <row r="1222" spans="1:8" x14ac:dyDescent="0.25">
      <c r="A1222" t="s">
        <v>378</v>
      </c>
      <c r="B1222">
        <v>138332</v>
      </c>
      <c r="C1222" s="4">
        <v>106.93</v>
      </c>
      <c r="D1222" s="1">
        <v>44543</v>
      </c>
      <c r="E1222" t="str">
        <f>"300731406"</f>
        <v>300731406</v>
      </c>
      <c r="F1222" t="str">
        <f>"Statement"</f>
        <v>Statement</v>
      </c>
      <c r="G1222" s="4">
        <v>106.93</v>
      </c>
      <c r="H1222" t="str">
        <f>"300731406"</f>
        <v>300731406</v>
      </c>
    </row>
    <row r="1223" spans="1:8" x14ac:dyDescent="0.25">
      <c r="A1223" t="s">
        <v>379</v>
      </c>
      <c r="B1223">
        <v>138490</v>
      </c>
      <c r="C1223" s="4">
        <v>1020</v>
      </c>
      <c r="D1223" s="1">
        <v>44557</v>
      </c>
      <c r="E1223" t="str">
        <f>"12690"</f>
        <v>12690</v>
      </c>
      <c r="F1223" t="str">
        <f t="shared" ref="F1223:F1230" si="14">"SERVICE"</f>
        <v>SERVICE</v>
      </c>
      <c r="G1223" s="4">
        <v>75</v>
      </c>
      <c r="H1223" t="str">
        <f t="shared" ref="H1223:H1230" si="15">"SERVICE"</f>
        <v>SERVICE</v>
      </c>
    </row>
    <row r="1224" spans="1:8" x14ac:dyDescent="0.25">
      <c r="E1224" t="str">
        <f>"13059"</f>
        <v>13059</v>
      </c>
      <c r="F1224" t="str">
        <f t="shared" si="14"/>
        <v>SERVICE</v>
      </c>
      <c r="G1224" s="4">
        <v>75</v>
      </c>
      <c r="H1224" t="str">
        <f t="shared" si="15"/>
        <v>SERVICE</v>
      </c>
    </row>
    <row r="1225" spans="1:8" x14ac:dyDescent="0.25">
      <c r="E1225" t="str">
        <f>"13118  11/01/2021"</f>
        <v>13118  11/01/2021</v>
      </c>
      <c r="F1225" t="str">
        <f t="shared" si="14"/>
        <v>SERVICE</v>
      </c>
      <c r="G1225" s="4">
        <v>155</v>
      </c>
      <c r="H1225" t="str">
        <f t="shared" si="15"/>
        <v>SERVICE</v>
      </c>
    </row>
    <row r="1226" spans="1:8" x14ac:dyDescent="0.25">
      <c r="E1226" t="str">
        <f>"13224"</f>
        <v>13224</v>
      </c>
      <c r="F1226" t="str">
        <f t="shared" si="14"/>
        <v>SERVICE</v>
      </c>
      <c r="G1226" s="4">
        <v>160</v>
      </c>
      <c r="H1226" t="str">
        <f t="shared" si="15"/>
        <v>SERVICE</v>
      </c>
    </row>
    <row r="1227" spans="1:8" x14ac:dyDescent="0.25">
      <c r="E1227" t="str">
        <f>"13364"</f>
        <v>13364</v>
      </c>
      <c r="F1227" t="str">
        <f t="shared" si="14"/>
        <v>SERVICE</v>
      </c>
      <c r="G1227" s="4">
        <v>75</v>
      </c>
      <c r="H1227" t="str">
        <f t="shared" si="15"/>
        <v>SERVICE</v>
      </c>
    </row>
    <row r="1228" spans="1:8" x14ac:dyDescent="0.25">
      <c r="E1228" t="str">
        <f>"13393"</f>
        <v>13393</v>
      </c>
      <c r="F1228" t="str">
        <f t="shared" si="14"/>
        <v>SERVICE</v>
      </c>
      <c r="G1228" s="4">
        <v>80</v>
      </c>
      <c r="H1228" t="str">
        <f t="shared" si="15"/>
        <v>SERVICE</v>
      </c>
    </row>
    <row r="1229" spans="1:8" x14ac:dyDescent="0.25">
      <c r="E1229" t="str">
        <f>"13412"</f>
        <v>13412</v>
      </c>
      <c r="F1229" t="str">
        <f t="shared" si="14"/>
        <v>SERVICE</v>
      </c>
      <c r="G1229" s="4">
        <v>320</v>
      </c>
      <c r="H1229" t="str">
        <f t="shared" si="15"/>
        <v>SERVICE</v>
      </c>
    </row>
    <row r="1230" spans="1:8" x14ac:dyDescent="0.25">
      <c r="E1230" t="str">
        <f>"13606"</f>
        <v>13606</v>
      </c>
      <c r="F1230" t="str">
        <f t="shared" si="14"/>
        <v>SERVICE</v>
      </c>
      <c r="G1230" s="4">
        <v>80</v>
      </c>
      <c r="H1230" t="str">
        <f t="shared" si="15"/>
        <v>SERVICE</v>
      </c>
    </row>
    <row r="1231" spans="1:8" x14ac:dyDescent="0.25">
      <c r="A1231" t="s">
        <v>380</v>
      </c>
      <c r="B1231">
        <v>138491</v>
      </c>
      <c r="C1231" s="4">
        <v>101</v>
      </c>
      <c r="D1231" s="1">
        <v>44557</v>
      </c>
      <c r="E1231" t="str">
        <f>"4860*98082*1"</f>
        <v>4860*98082*1</v>
      </c>
      <c r="F1231" t="str">
        <f>"JAIL MEDICAL"</f>
        <v>JAIL MEDICAL</v>
      </c>
      <c r="G1231" s="4">
        <v>101</v>
      </c>
      <c r="H1231" t="str">
        <f>"JAIL MEDICAL"</f>
        <v>JAIL MEDICAL</v>
      </c>
    </row>
    <row r="1232" spans="1:8" x14ac:dyDescent="0.25">
      <c r="A1232" t="s">
        <v>381</v>
      </c>
      <c r="B1232">
        <v>138492</v>
      </c>
      <c r="C1232" s="4">
        <v>18745</v>
      </c>
      <c r="D1232" s="1">
        <v>44557</v>
      </c>
      <c r="E1232" t="str">
        <f>"3300005331"</f>
        <v>3300005331</v>
      </c>
      <c r="F1232" t="str">
        <f>"CUST#100733/INV#3300005331"</f>
        <v>CUST#100733/INV#3300005331</v>
      </c>
      <c r="G1232" s="4">
        <v>16675</v>
      </c>
      <c r="H1232" t="str">
        <f>"CUST#100733/INV#3300005331"</f>
        <v>CUST#100733/INV#3300005331</v>
      </c>
    </row>
    <row r="1233" spans="1:8" x14ac:dyDescent="0.25">
      <c r="E1233" t="str">
        <f>"3300005361"</f>
        <v>3300005361</v>
      </c>
      <c r="F1233" t="str">
        <f>"CUST#100009/INV#3300005361"</f>
        <v>CUST#100009/INV#3300005361</v>
      </c>
      <c r="G1233" s="4">
        <v>1035</v>
      </c>
      <c r="H1233" t="str">
        <f>"CUST#100009/INV#3300005361"</f>
        <v>CUST#100009/INV#3300005361</v>
      </c>
    </row>
    <row r="1234" spans="1:8" x14ac:dyDescent="0.25">
      <c r="E1234" t="str">
        <f>"3300005364"</f>
        <v>3300005364</v>
      </c>
      <c r="F1234" t="str">
        <f>"CUST#100010/INV#3300005364"</f>
        <v>CUST#100010/INV#3300005364</v>
      </c>
      <c r="G1234" s="4">
        <v>1035</v>
      </c>
      <c r="H1234" t="str">
        <f>"CUST#100010/INV#3300005364"</f>
        <v>CUST#100010/INV#3300005364</v>
      </c>
    </row>
    <row r="1235" spans="1:8" x14ac:dyDescent="0.25">
      <c r="A1235" t="s">
        <v>382</v>
      </c>
      <c r="B1235">
        <v>138333</v>
      </c>
      <c r="C1235" s="4">
        <v>67.73</v>
      </c>
      <c r="D1235" s="1">
        <v>44543</v>
      </c>
      <c r="E1235" t="str">
        <f>"T86261"</f>
        <v>T86261</v>
      </c>
      <c r="F1235" t="str">
        <f>"SANDY LOAM/PCT#1"</f>
        <v>SANDY LOAM/PCT#1</v>
      </c>
      <c r="G1235" s="4">
        <v>67.73</v>
      </c>
      <c r="H1235" t="str">
        <f>"SANDY LOAM/PCT#1"</f>
        <v>SANDY LOAM/PCT#1</v>
      </c>
    </row>
    <row r="1236" spans="1:8" x14ac:dyDescent="0.25">
      <c r="A1236" t="s">
        <v>383</v>
      </c>
      <c r="B1236">
        <v>138493</v>
      </c>
      <c r="C1236" s="4">
        <v>61.17</v>
      </c>
      <c r="D1236" s="1">
        <v>44557</v>
      </c>
      <c r="E1236" t="str">
        <f>"202112207944"</f>
        <v>202112207944</v>
      </c>
      <c r="F1236" t="str">
        <f>"INDIGENT HEALTH"</f>
        <v>INDIGENT HEALTH</v>
      </c>
      <c r="G1236" s="4">
        <v>61.17</v>
      </c>
      <c r="H1236" t="str">
        <f>"INDIGENT HEALTH"</f>
        <v>INDIGENT HEALTH</v>
      </c>
    </row>
    <row r="1237" spans="1:8" x14ac:dyDescent="0.25">
      <c r="A1237" t="s">
        <v>384</v>
      </c>
      <c r="B1237">
        <v>5555</v>
      </c>
      <c r="C1237" s="4">
        <v>932.26</v>
      </c>
      <c r="D1237" s="1">
        <v>44558</v>
      </c>
      <c r="E1237" t="str">
        <f>"576256  580252"</f>
        <v>576256  580252</v>
      </c>
      <c r="F1237" t="str">
        <f>"INV 576256 / 580252"</f>
        <v>INV 576256 / 580252</v>
      </c>
      <c r="G1237" s="4">
        <v>754.66</v>
      </c>
      <c r="H1237" t="str">
        <f>"INV 576256"</f>
        <v>INV 576256</v>
      </c>
    </row>
    <row r="1238" spans="1:8" x14ac:dyDescent="0.25">
      <c r="E1238" t="str">
        <f>""</f>
        <v/>
      </c>
      <c r="F1238" t="str">
        <f>""</f>
        <v/>
      </c>
      <c r="G1238" s="4">
        <v>177.6</v>
      </c>
      <c r="H1238" t="str">
        <f>"INV 580252"</f>
        <v>INV 580252</v>
      </c>
    </row>
    <row r="1239" spans="1:8" x14ac:dyDescent="0.25">
      <c r="A1239" t="s">
        <v>385</v>
      </c>
      <c r="B1239">
        <v>138494</v>
      </c>
      <c r="C1239" s="4">
        <v>538.79</v>
      </c>
      <c r="D1239" s="1">
        <v>44557</v>
      </c>
      <c r="E1239" t="str">
        <f>"52026305-00"</f>
        <v>52026305-00</v>
      </c>
      <c r="F1239" t="str">
        <f>"CUST#91203/PCT#4"</f>
        <v>CUST#91203/PCT#4</v>
      </c>
      <c r="G1239" s="4">
        <v>538.79</v>
      </c>
      <c r="H1239" t="str">
        <f>"CUST#91203/PCT#4"</f>
        <v>CUST#91203/PCT#4</v>
      </c>
    </row>
    <row r="1240" spans="1:8" x14ac:dyDescent="0.25">
      <c r="A1240" t="s">
        <v>386</v>
      </c>
      <c r="B1240">
        <v>5552</v>
      </c>
      <c r="C1240" s="4">
        <v>400</v>
      </c>
      <c r="D1240" s="1">
        <v>44544</v>
      </c>
      <c r="E1240" t="str">
        <f>"202112067666"</f>
        <v>202112067666</v>
      </c>
      <c r="F1240" t="str">
        <f>"16 949"</f>
        <v>16 949</v>
      </c>
      <c r="G1240" s="4">
        <v>400</v>
      </c>
      <c r="H1240" t="str">
        <f>"16 949"</f>
        <v>16 949</v>
      </c>
    </row>
    <row r="1241" spans="1:8" x14ac:dyDescent="0.25">
      <c r="A1241" t="s">
        <v>386</v>
      </c>
      <c r="B1241">
        <v>5606</v>
      </c>
      <c r="C1241" s="4">
        <v>612</v>
      </c>
      <c r="D1241" s="1">
        <v>44558</v>
      </c>
      <c r="E1241" t="str">
        <f>"202112167820"</f>
        <v>202112167820</v>
      </c>
      <c r="F1241" t="str">
        <f>"2021113/1984-335"</f>
        <v>2021113/1984-335</v>
      </c>
      <c r="G1241" s="4">
        <v>100</v>
      </c>
      <c r="H1241" t="str">
        <f>"2021113/1984-335"</f>
        <v>2021113/1984-335</v>
      </c>
    </row>
    <row r="1242" spans="1:8" x14ac:dyDescent="0.25">
      <c r="E1242" t="str">
        <f>"202112197916"</f>
        <v>202112197916</v>
      </c>
      <c r="F1242" t="str">
        <f>"1979-21"</f>
        <v>1979-21</v>
      </c>
      <c r="G1242" s="4">
        <v>100</v>
      </c>
      <c r="H1242" t="str">
        <f>"1979-21"</f>
        <v>1979-21</v>
      </c>
    </row>
    <row r="1243" spans="1:8" x14ac:dyDescent="0.25">
      <c r="E1243" t="str">
        <f>"202112197917"</f>
        <v>202112197917</v>
      </c>
      <c r="F1243" t="str">
        <f>"423-7246"</f>
        <v>423-7246</v>
      </c>
      <c r="G1243" s="4">
        <v>412</v>
      </c>
      <c r="H1243" t="str">
        <f>"423-7246"</f>
        <v>423-7246</v>
      </c>
    </row>
    <row r="1244" spans="1:8" x14ac:dyDescent="0.25">
      <c r="A1244" t="s">
        <v>387</v>
      </c>
      <c r="B1244">
        <v>5559</v>
      </c>
      <c r="C1244" s="4">
        <v>74</v>
      </c>
      <c r="D1244" s="1">
        <v>44558</v>
      </c>
      <c r="E1244" t="str">
        <f>"21340:0297"</f>
        <v>21340:0297</v>
      </c>
      <c r="F1244" t="str">
        <f>"ACCT#33036/ANIMAL SVCS"</f>
        <v>ACCT#33036/ANIMAL SVCS</v>
      </c>
      <c r="G1244" s="4">
        <v>37</v>
      </c>
      <c r="H1244" t="str">
        <f>"ACCT#33036/ANIMAL SVCS"</f>
        <v>ACCT#33036/ANIMAL SVCS</v>
      </c>
    </row>
    <row r="1245" spans="1:8" x14ac:dyDescent="0.25">
      <c r="E1245" t="str">
        <f>"21341:0444"</f>
        <v>21341:0444</v>
      </c>
      <c r="F1245" t="str">
        <f>"ACCT#33036/ANIMAL SVCS"</f>
        <v>ACCT#33036/ANIMAL SVCS</v>
      </c>
      <c r="G1245" s="4">
        <v>37</v>
      </c>
      <c r="H1245" t="str">
        <f>"ACCT#33036/ANIMAL SVCS"</f>
        <v>ACCT#33036/ANIMAL SVCS</v>
      </c>
    </row>
    <row r="1246" spans="1:8" x14ac:dyDescent="0.25">
      <c r="A1246" t="s">
        <v>388</v>
      </c>
      <c r="B1246">
        <v>138334</v>
      </c>
      <c r="C1246" s="4">
        <v>593.98</v>
      </c>
      <c r="D1246" s="1">
        <v>44543</v>
      </c>
      <c r="E1246" t="str">
        <f>"2458"</f>
        <v>2458</v>
      </c>
      <c r="F1246" t="str">
        <f>"WORK TICKET 1548 PCT#3"</f>
        <v>WORK TICKET 1548 PCT#3</v>
      </c>
      <c r="G1246" s="4">
        <v>593.98</v>
      </c>
      <c r="H1246" t="str">
        <f>"WORK TICKET 1548 PCT#3"</f>
        <v>WORK TICKET 1548 PCT#3</v>
      </c>
    </row>
    <row r="1247" spans="1:8" x14ac:dyDescent="0.25">
      <c r="A1247" t="s">
        <v>389</v>
      </c>
      <c r="B1247">
        <v>138335</v>
      </c>
      <c r="C1247" s="4">
        <v>165</v>
      </c>
      <c r="D1247" s="1">
        <v>44543</v>
      </c>
      <c r="E1247" t="str">
        <f>"202111297426"</f>
        <v>202111297426</v>
      </c>
      <c r="F1247" t="str">
        <f>"FERAL HOGS"</f>
        <v>FERAL HOGS</v>
      </c>
      <c r="G1247" s="4">
        <v>165</v>
      </c>
      <c r="H1247" t="str">
        <f>"FERAL HOGS"</f>
        <v>FERAL HOGS</v>
      </c>
    </row>
    <row r="1248" spans="1:8" x14ac:dyDescent="0.25">
      <c r="A1248" t="s">
        <v>390</v>
      </c>
      <c r="B1248">
        <v>138336</v>
      </c>
      <c r="C1248" s="4">
        <v>87512.72</v>
      </c>
      <c r="D1248" s="1">
        <v>44543</v>
      </c>
      <c r="E1248" t="str">
        <f>"020-131391"</f>
        <v>020-131391</v>
      </c>
      <c r="F1248" t="str">
        <f>"CUST#42161/ORD#101256"</f>
        <v>CUST#42161/ORD#101256</v>
      </c>
      <c r="G1248" s="4">
        <v>601.25</v>
      </c>
      <c r="H1248" t="str">
        <f>"CUST#42161/ORD#101256"</f>
        <v>CUST#42161/ORD#101256</v>
      </c>
    </row>
    <row r="1249" spans="1:8" x14ac:dyDescent="0.25">
      <c r="E1249" t="str">
        <f>"020-131691"</f>
        <v>020-131691</v>
      </c>
      <c r="F1249" t="str">
        <f>"CUST#42161/JURY MGR SOFTWARE"</f>
        <v>CUST#42161/JURY MGR SOFTWARE</v>
      </c>
      <c r="G1249" s="4">
        <v>15737</v>
      </c>
      <c r="H1249" t="str">
        <f>"CUST#42161/JURY MGR SOFTWARE"</f>
        <v>CUST#42161/JURY MGR SOFTWARE</v>
      </c>
    </row>
    <row r="1250" spans="1:8" x14ac:dyDescent="0.25">
      <c r="E1250" t="str">
        <f>"020-131758"</f>
        <v>020-131758</v>
      </c>
      <c r="F1250" t="str">
        <f>"CUST#42161/ODYSSSEY CT ADMIN"</f>
        <v>CUST#42161/ODYSSSEY CT ADMIN</v>
      </c>
      <c r="G1250" s="4">
        <v>35190.83</v>
      </c>
      <c r="H1250" t="str">
        <f>"CUST#42161/ODYSSSEY CT ADMIN"</f>
        <v>CUST#42161/ODYSSSEY CT ADMIN</v>
      </c>
    </row>
    <row r="1251" spans="1:8" x14ac:dyDescent="0.25">
      <c r="E1251" t="str">
        <f>""</f>
        <v/>
      </c>
      <c r="F1251" t="str">
        <f>""</f>
        <v/>
      </c>
      <c r="G1251" s="4">
        <v>3291.34</v>
      </c>
      <c r="H1251" t="str">
        <f>"CUST#42161/ODYSSSEY CT ADMIN"</f>
        <v>CUST#42161/ODYSSSEY CT ADMIN</v>
      </c>
    </row>
    <row r="1252" spans="1:8" x14ac:dyDescent="0.25">
      <c r="E1252" t="str">
        <f>"020-131759"</f>
        <v>020-131759</v>
      </c>
      <c r="F1252" t="str">
        <f>"ORD#102166/ODYSSEY DOC MGMT"</f>
        <v>ORD#102166/ODYSSEY DOC MGMT</v>
      </c>
      <c r="G1252" s="4">
        <v>614.53</v>
      </c>
      <c r="H1252" t="str">
        <f>"ORD#102166/ODYSSEY DOC MGMT"</f>
        <v>ORD#102166/ODYSSEY DOC MGMT</v>
      </c>
    </row>
    <row r="1253" spans="1:8" x14ac:dyDescent="0.25">
      <c r="E1253" t="str">
        <f>"070-106542"</f>
        <v>070-106542</v>
      </c>
      <c r="F1253" t="str">
        <f>"CUST#46405/TAX OFFICE"</f>
        <v>CUST#46405/TAX OFFICE</v>
      </c>
      <c r="G1253" s="4">
        <v>29249.77</v>
      </c>
      <c r="H1253" t="str">
        <f>"CUST#46405/TAX OFFICE"</f>
        <v>CUST#46405/TAX OFFICE</v>
      </c>
    </row>
    <row r="1254" spans="1:8" x14ac:dyDescent="0.25">
      <c r="E1254" t="str">
        <f>"130-124302"</f>
        <v>130-124302</v>
      </c>
      <c r="F1254" t="str">
        <f>"CUST#42161/PROPERTY ROOM"</f>
        <v>CUST#42161/PROPERTY ROOM</v>
      </c>
      <c r="G1254" s="4">
        <v>2520</v>
      </c>
      <c r="H1254" t="str">
        <f>"CUST#42161/PROPERTY ROOM"</f>
        <v>CUST#42161/PROPERTY ROOM</v>
      </c>
    </row>
    <row r="1255" spans="1:8" x14ac:dyDescent="0.25">
      <c r="E1255" t="str">
        <f>"130-124303"</f>
        <v>130-124303</v>
      </c>
      <c r="F1255" t="str">
        <f>"CUST#42161/SHERIFF'S OFFICE"</f>
        <v>CUST#42161/SHERIFF'S OFFICE</v>
      </c>
      <c r="G1255" s="4">
        <v>48</v>
      </c>
      <c r="H1255" t="str">
        <f>"CUST#42161/SHERIFF'S OFFICE"</f>
        <v>CUST#42161/SHERIFF'S OFFICE</v>
      </c>
    </row>
    <row r="1256" spans="1:8" x14ac:dyDescent="0.25">
      <c r="E1256" t="str">
        <f>"130-124345"</f>
        <v>130-124345</v>
      </c>
      <c r="F1256" t="str">
        <f>"CUST#42161/SHERIFF'S OFFICE"</f>
        <v>CUST#42161/SHERIFF'S OFFICE</v>
      </c>
      <c r="G1256" s="4">
        <v>260</v>
      </c>
      <c r="H1256" t="str">
        <f>"CUST#42161/SHERIFF'S OFFICE"</f>
        <v>CUST#42161/SHERIFF'S OFFICE</v>
      </c>
    </row>
    <row r="1257" spans="1:8" x14ac:dyDescent="0.25">
      <c r="A1257" t="s">
        <v>390</v>
      </c>
      <c r="B1257">
        <v>138495</v>
      </c>
      <c r="C1257" s="4">
        <v>400</v>
      </c>
      <c r="D1257" s="1">
        <v>44557</v>
      </c>
      <c r="E1257" t="str">
        <f>"020-131939"</f>
        <v>020-131939</v>
      </c>
      <c r="F1257" t="str">
        <f>"CUST#42161/OCT 2021 JURY MGR"</f>
        <v>CUST#42161/OCT 2021 JURY MGR</v>
      </c>
      <c r="G1257" s="4">
        <v>400</v>
      </c>
      <c r="H1257" t="str">
        <f>"CUST#42161/OCT 2021 JURY MGR"</f>
        <v>CUST#42161/OCT 2021 JURY MGR</v>
      </c>
    </row>
    <row r="1258" spans="1:8" x14ac:dyDescent="0.25">
      <c r="A1258" t="s">
        <v>391</v>
      </c>
      <c r="B1258">
        <v>5480</v>
      </c>
      <c r="C1258" s="4">
        <v>696.5</v>
      </c>
      <c r="D1258" s="1">
        <v>44544</v>
      </c>
      <c r="E1258" t="str">
        <f>"141781012"</f>
        <v>141781012</v>
      </c>
      <c r="F1258" t="str">
        <f>"PlasticDrums  Pails  Lids"</f>
        <v>PlasticDrums  Pails  Lids</v>
      </c>
      <c r="G1258" s="4">
        <v>105</v>
      </c>
      <c r="H1258" t="str">
        <f>"S-9948NAT"</f>
        <v>S-9948NAT</v>
      </c>
    </row>
    <row r="1259" spans="1:8" x14ac:dyDescent="0.25">
      <c r="E1259" t="str">
        <f>""</f>
        <v/>
      </c>
      <c r="F1259" t="str">
        <f>""</f>
        <v/>
      </c>
      <c r="G1259" s="4">
        <v>306</v>
      </c>
      <c r="H1259" t="str">
        <f>"S-9942NAT"</f>
        <v>S-9942NAT</v>
      </c>
    </row>
    <row r="1260" spans="1:8" x14ac:dyDescent="0.25">
      <c r="E1260" t="str">
        <f>""</f>
        <v/>
      </c>
      <c r="F1260" t="str">
        <f>""</f>
        <v/>
      </c>
      <c r="G1260" s="4">
        <v>176</v>
      </c>
      <c r="H1260" t="str">
        <f>"S-9945BLU"</f>
        <v>S-9945BLU</v>
      </c>
    </row>
    <row r="1261" spans="1:8" x14ac:dyDescent="0.25">
      <c r="E1261" t="str">
        <f>""</f>
        <v/>
      </c>
      <c r="F1261" t="str">
        <f>""</f>
        <v/>
      </c>
      <c r="G1261" s="4">
        <v>109.5</v>
      </c>
      <c r="H1261" t="str">
        <f>"SHIPPING COST"</f>
        <v>SHIPPING COST</v>
      </c>
    </row>
    <row r="1262" spans="1:8" x14ac:dyDescent="0.25">
      <c r="A1262" t="s">
        <v>391</v>
      </c>
      <c r="B1262">
        <v>5558</v>
      </c>
      <c r="C1262" s="4">
        <v>1091.25</v>
      </c>
      <c r="D1262" s="1">
        <v>44558</v>
      </c>
      <c r="E1262" t="str">
        <f>"202112197882"</f>
        <v>202112197882</v>
      </c>
      <c r="F1262" t="str">
        <f>"INV 142152367"</f>
        <v>INV 142152367</v>
      </c>
      <c r="G1262" s="4">
        <v>817.5</v>
      </c>
      <c r="H1262" t="str">
        <f>"INV 142152367"</f>
        <v>INV 142152367</v>
      </c>
    </row>
    <row r="1263" spans="1:8" x14ac:dyDescent="0.25">
      <c r="E1263" t="str">
        <f>"202112197908"</f>
        <v>202112197908</v>
      </c>
      <c r="F1263" t="str">
        <f>"ULINE BOGUS PAPER"</f>
        <v>ULINE BOGUS PAPER</v>
      </c>
      <c r="G1263" s="4">
        <v>181.5</v>
      </c>
      <c r="H1263" t="str">
        <f>"S-12832"</f>
        <v>S-12832</v>
      </c>
    </row>
    <row r="1264" spans="1:8" x14ac:dyDescent="0.25">
      <c r="E1264" t="str">
        <f>""</f>
        <v/>
      </c>
      <c r="F1264" t="str">
        <f>""</f>
        <v/>
      </c>
      <c r="G1264" s="4">
        <v>92.25</v>
      </c>
      <c r="H1264" t="str">
        <f>"SHIPPING COST"</f>
        <v>SHIPPING COST</v>
      </c>
    </row>
    <row r="1265" spans="1:8" x14ac:dyDescent="0.25">
      <c r="A1265" t="s">
        <v>123</v>
      </c>
      <c r="B1265">
        <v>138496</v>
      </c>
      <c r="C1265" s="4">
        <v>3202.36</v>
      </c>
      <c r="D1265" s="1">
        <v>44557</v>
      </c>
      <c r="E1265" t="str">
        <f>"202112207938"</f>
        <v>202112207938</v>
      </c>
      <c r="F1265" t="str">
        <f>"INDIGENT HEALTH"</f>
        <v>INDIGENT HEALTH</v>
      </c>
      <c r="G1265" s="4">
        <v>3202.36</v>
      </c>
      <c r="H1265" t="str">
        <f>"INDIGENT HEALTH"</f>
        <v>INDIGENT HEALTH</v>
      </c>
    </row>
    <row r="1266" spans="1:8" x14ac:dyDescent="0.25">
      <c r="A1266" t="s">
        <v>392</v>
      </c>
      <c r="B1266">
        <v>138497</v>
      </c>
      <c r="C1266" s="4">
        <v>150</v>
      </c>
      <c r="D1266" s="1">
        <v>44557</v>
      </c>
      <c r="E1266" t="str">
        <f>"202112197881"</f>
        <v>202112197881</v>
      </c>
      <c r="F1266" t="str">
        <f>"PER DIEM"</f>
        <v>PER DIEM</v>
      </c>
      <c r="G1266" s="4">
        <v>150</v>
      </c>
      <c r="H1266" t="str">
        <f>"PER DIEM"</f>
        <v>PER DIEM</v>
      </c>
    </row>
    <row r="1267" spans="1:8" x14ac:dyDescent="0.25">
      <c r="A1267" t="s">
        <v>393</v>
      </c>
      <c r="B1267">
        <v>138498</v>
      </c>
      <c r="C1267" s="4">
        <v>199.47</v>
      </c>
      <c r="D1267" s="1">
        <v>44557</v>
      </c>
      <c r="E1267" t="str">
        <f>"2014949"</f>
        <v>2014949</v>
      </c>
      <c r="F1267" t="str">
        <f>"ACCT#17460002268 003 NOVEMBER"</f>
        <v>ACCT#17460002268 003 NOVEMBER</v>
      </c>
      <c r="G1267" s="4">
        <v>199.47</v>
      </c>
      <c r="H1267" t="str">
        <f>"ACCT#17460002268 003 NOVEMBER"</f>
        <v>ACCT#17460002268 003 NOVEMBER</v>
      </c>
    </row>
    <row r="1268" spans="1:8" x14ac:dyDescent="0.25">
      <c r="A1268" t="s">
        <v>394</v>
      </c>
      <c r="B1268">
        <v>5511</v>
      </c>
      <c r="C1268" s="4">
        <v>63952.23</v>
      </c>
      <c r="D1268" s="1">
        <v>44544</v>
      </c>
      <c r="E1268" t="str">
        <f>"8693959212148"</f>
        <v>8693959212148</v>
      </c>
      <c r="F1268" t="str">
        <f>"Voyager"</f>
        <v>Voyager</v>
      </c>
      <c r="G1268" s="4">
        <v>130.22</v>
      </c>
      <c r="H1268" t="str">
        <f>"fuel"</f>
        <v>fuel</v>
      </c>
    </row>
    <row r="1269" spans="1:8" x14ac:dyDescent="0.25">
      <c r="E1269" t="str">
        <f>""</f>
        <v/>
      </c>
      <c r="F1269" t="str">
        <f>""</f>
        <v/>
      </c>
      <c r="G1269" s="4">
        <v>-8.32</v>
      </c>
      <c r="H1269" t="str">
        <f>"tax"</f>
        <v>tax</v>
      </c>
    </row>
    <row r="1270" spans="1:8" x14ac:dyDescent="0.25">
      <c r="E1270" t="str">
        <f>""</f>
        <v/>
      </c>
      <c r="F1270" t="str">
        <f>""</f>
        <v/>
      </c>
      <c r="G1270" s="4">
        <v>111.14</v>
      </c>
      <c r="H1270" t="str">
        <f>"maintenance"</f>
        <v>maintenance</v>
      </c>
    </row>
    <row r="1271" spans="1:8" x14ac:dyDescent="0.25">
      <c r="E1271" t="str">
        <f>""</f>
        <v/>
      </c>
      <c r="F1271" t="str">
        <f>""</f>
        <v/>
      </c>
      <c r="G1271" s="4">
        <v>3186.66</v>
      </c>
      <c r="H1271" t="str">
        <f>"fuel"</f>
        <v>fuel</v>
      </c>
    </row>
    <row r="1272" spans="1:8" x14ac:dyDescent="0.25">
      <c r="E1272" t="str">
        <f>""</f>
        <v/>
      </c>
      <c r="F1272" t="str">
        <f>""</f>
        <v/>
      </c>
      <c r="G1272" s="4">
        <v>-201.46</v>
      </c>
      <c r="H1272" t="str">
        <f>"tax"</f>
        <v>tax</v>
      </c>
    </row>
    <row r="1273" spans="1:8" x14ac:dyDescent="0.25">
      <c r="E1273" t="str">
        <f>""</f>
        <v/>
      </c>
      <c r="F1273" t="str">
        <f>""</f>
        <v/>
      </c>
      <c r="G1273" s="4">
        <v>2602.41</v>
      </c>
      <c r="H1273" t="str">
        <f>"fuel"</f>
        <v>fuel</v>
      </c>
    </row>
    <row r="1274" spans="1:8" x14ac:dyDescent="0.25">
      <c r="E1274" t="str">
        <f>""</f>
        <v/>
      </c>
      <c r="F1274" t="str">
        <f>""</f>
        <v/>
      </c>
      <c r="G1274" s="4">
        <v>-164.65</v>
      </c>
      <c r="H1274" t="str">
        <f>"tax"</f>
        <v>tax</v>
      </c>
    </row>
    <row r="1275" spans="1:8" x14ac:dyDescent="0.25">
      <c r="E1275" t="str">
        <f>""</f>
        <v/>
      </c>
      <c r="F1275" t="str">
        <f>""</f>
        <v/>
      </c>
      <c r="G1275" s="4">
        <v>148.78</v>
      </c>
      <c r="H1275" t="str">
        <f>"maintenance"</f>
        <v>maintenance</v>
      </c>
    </row>
    <row r="1276" spans="1:8" x14ac:dyDescent="0.25">
      <c r="E1276" t="str">
        <f>""</f>
        <v/>
      </c>
      <c r="F1276" t="str">
        <f>""</f>
        <v/>
      </c>
      <c r="G1276" s="4">
        <v>34675</v>
      </c>
      <c r="H1276" t="str">
        <f>"fuel"</f>
        <v>fuel</v>
      </c>
    </row>
    <row r="1277" spans="1:8" x14ac:dyDescent="0.25">
      <c r="E1277" t="str">
        <f>""</f>
        <v/>
      </c>
      <c r="F1277" t="str">
        <f>""</f>
        <v/>
      </c>
      <c r="G1277" s="4">
        <v>-2279.13</v>
      </c>
      <c r="H1277" t="str">
        <f>"tax"</f>
        <v>tax</v>
      </c>
    </row>
    <row r="1278" spans="1:8" x14ac:dyDescent="0.25">
      <c r="E1278" t="str">
        <f>""</f>
        <v/>
      </c>
      <c r="F1278" t="str">
        <f>""</f>
        <v/>
      </c>
      <c r="G1278" s="4">
        <v>19470.11</v>
      </c>
      <c r="H1278" t="str">
        <f>"maintenance"</f>
        <v>maintenance</v>
      </c>
    </row>
    <row r="1279" spans="1:8" x14ac:dyDescent="0.25">
      <c r="E1279" t="str">
        <f>""</f>
        <v/>
      </c>
      <c r="F1279" t="str">
        <f>""</f>
        <v/>
      </c>
      <c r="G1279" s="4">
        <v>1884.39</v>
      </c>
      <c r="H1279" t="str">
        <f>"fuel"</f>
        <v>fuel</v>
      </c>
    </row>
    <row r="1280" spans="1:8" x14ac:dyDescent="0.25">
      <c r="E1280" t="str">
        <f>""</f>
        <v/>
      </c>
      <c r="F1280" t="str">
        <f>""</f>
        <v/>
      </c>
      <c r="G1280" s="4">
        <v>572.09</v>
      </c>
      <c r="H1280" t="str">
        <f>"maintenance"</f>
        <v>maintenance</v>
      </c>
    </row>
    <row r="1281" spans="1:8" x14ac:dyDescent="0.25">
      <c r="E1281" t="str">
        <f>""</f>
        <v/>
      </c>
      <c r="F1281" t="str">
        <f>""</f>
        <v/>
      </c>
      <c r="G1281" s="4">
        <v>1649.3</v>
      </c>
      <c r="H1281" t="str">
        <f>"fuel"</f>
        <v>fuel</v>
      </c>
    </row>
    <row r="1282" spans="1:8" x14ac:dyDescent="0.25">
      <c r="E1282" t="str">
        <f>""</f>
        <v/>
      </c>
      <c r="F1282" t="str">
        <f>""</f>
        <v/>
      </c>
      <c r="G1282" s="4">
        <v>-101.74</v>
      </c>
      <c r="H1282" t="str">
        <f>"tax"</f>
        <v>tax</v>
      </c>
    </row>
    <row r="1283" spans="1:8" x14ac:dyDescent="0.25">
      <c r="E1283" t="str">
        <f>""</f>
        <v/>
      </c>
      <c r="F1283" t="str">
        <f>""</f>
        <v/>
      </c>
      <c r="G1283" s="4">
        <v>313.45999999999998</v>
      </c>
      <c r="H1283" t="str">
        <f>"maintenance"</f>
        <v>maintenance</v>
      </c>
    </row>
    <row r="1284" spans="1:8" x14ac:dyDescent="0.25">
      <c r="E1284" t="str">
        <f>""</f>
        <v/>
      </c>
      <c r="F1284" t="str">
        <f>""</f>
        <v/>
      </c>
      <c r="G1284" s="4">
        <v>1550.02</v>
      </c>
      <c r="H1284" t="str">
        <f>"fuel"</f>
        <v>fuel</v>
      </c>
    </row>
    <row r="1285" spans="1:8" x14ac:dyDescent="0.25">
      <c r="E1285" t="str">
        <f>""</f>
        <v/>
      </c>
      <c r="F1285" t="str">
        <f>""</f>
        <v/>
      </c>
      <c r="G1285" s="4">
        <v>-115.4</v>
      </c>
      <c r="H1285" t="str">
        <f>"tax"</f>
        <v>tax</v>
      </c>
    </row>
    <row r="1286" spans="1:8" x14ac:dyDescent="0.25">
      <c r="E1286" t="str">
        <f>""</f>
        <v/>
      </c>
      <c r="F1286" t="str">
        <f>""</f>
        <v/>
      </c>
      <c r="G1286" s="4">
        <v>297.98</v>
      </c>
      <c r="H1286" t="str">
        <f>"maintenance"</f>
        <v>maintenance</v>
      </c>
    </row>
    <row r="1287" spans="1:8" x14ac:dyDescent="0.25">
      <c r="E1287" t="str">
        <f>""</f>
        <v/>
      </c>
      <c r="F1287" t="str">
        <f>""</f>
        <v/>
      </c>
      <c r="G1287" s="4">
        <v>61.01</v>
      </c>
      <c r="H1287" t="str">
        <f>"fuel"</f>
        <v>fuel</v>
      </c>
    </row>
    <row r="1288" spans="1:8" x14ac:dyDescent="0.25">
      <c r="E1288" t="str">
        <f>""</f>
        <v/>
      </c>
      <c r="F1288" t="str">
        <f>""</f>
        <v/>
      </c>
      <c r="G1288" s="4">
        <v>-3.85</v>
      </c>
      <c r="H1288" t="str">
        <f>"tax"</f>
        <v>tax</v>
      </c>
    </row>
    <row r="1289" spans="1:8" x14ac:dyDescent="0.25">
      <c r="E1289" t="str">
        <f>""</f>
        <v/>
      </c>
      <c r="F1289" t="str">
        <f>""</f>
        <v/>
      </c>
      <c r="G1289" s="4">
        <v>168.53</v>
      </c>
      <c r="H1289" t="str">
        <f>"fuel"</f>
        <v>fuel</v>
      </c>
    </row>
    <row r="1290" spans="1:8" x14ac:dyDescent="0.25">
      <c r="E1290" t="str">
        <f>""</f>
        <v/>
      </c>
      <c r="F1290" t="str">
        <f>""</f>
        <v/>
      </c>
      <c r="G1290" s="4">
        <v>-10.64</v>
      </c>
      <c r="H1290" t="str">
        <f>"tax"</f>
        <v>tax</v>
      </c>
    </row>
    <row r="1291" spans="1:8" x14ac:dyDescent="0.25">
      <c r="E1291" t="str">
        <f>""</f>
        <v/>
      </c>
      <c r="F1291" t="str">
        <f>""</f>
        <v/>
      </c>
      <c r="G1291" s="4">
        <v>17.25</v>
      </c>
      <c r="H1291" t="str">
        <f>"fuel"</f>
        <v>fuel</v>
      </c>
    </row>
    <row r="1292" spans="1:8" x14ac:dyDescent="0.25">
      <c r="E1292" t="str">
        <f>""</f>
        <v/>
      </c>
      <c r="F1292" t="str">
        <f>""</f>
        <v/>
      </c>
      <c r="G1292" s="4">
        <v>-0.93</v>
      </c>
      <c r="H1292" t="str">
        <f>"tax"</f>
        <v>tax</v>
      </c>
    </row>
    <row r="1293" spans="1:8" x14ac:dyDescent="0.25">
      <c r="A1293" t="s">
        <v>395</v>
      </c>
      <c r="B1293">
        <v>138337</v>
      </c>
      <c r="C1293" s="4">
        <v>90.99</v>
      </c>
      <c r="D1293" s="1">
        <v>44543</v>
      </c>
      <c r="E1293" t="str">
        <f>"10476849"</f>
        <v>10476849</v>
      </c>
      <c r="F1293" t="str">
        <f>"ACCT#000106944-4 PCT#3"</f>
        <v>ACCT#000106944-4 PCT#3</v>
      </c>
      <c r="G1293" s="4">
        <v>90.99</v>
      </c>
      <c r="H1293" t="str">
        <f>"ACCT#000106944-4 PCT#3"</f>
        <v>ACCT#000106944-4 PCT#3</v>
      </c>
    </row>
    <row r="1294" spans="1:8" x14ac:dyDescent="0.25">
      <c r="A1294" t="s">
        <v>396</v>
      </c>
      <c r="B1294">
        <v>5553</v>
      </c>
      <c r="C1294" s="4">
        <v>4121.6000000000004</v>
      </c>
      <c r="D1294" s="1">
        <v>44544</v>
      </c>
      <c r="E1294" t="str">
        <f>"R11644"</f>
        <v>R11644</v>
      </c>
      <c r="F1294" t="str">
        <f>"VULCAN  INC."</f>
        <v>VULCAN  INC.</v>
      </c>
      <c r="G1294" s="4">
        <v>207.5</v>
      </c>
      <c r="H1294" t="str">
        <f>"002197"</f>
        <v>002197</v>
      </c>
    </row>
    <row r="1295" spans="1:8" x14ac:dyDescent="0.25">
      <c r="E1295" t="str">
        <f>""</f>
        <v/>
      </c>
      <c r="F1295" t="str">
        <f>""</f>
        <v/>
      </c>
      <c r="G1295" s="4">
        <v>889</v>
      </c>
      <c r="H1295" t="str">
        <f>"WBS0801893930"</f>
        <v>WBS0801893930</v>
      </c>
    </row>
    <row r="1296" spans="1:8" x14ac:dyDescent="0.25">
      <c r="E1296" t="str">
        <f>""</f>
        <v/>
      </c>
      <c r="F1296" t="str">
        <f>""</f>
        <v/>
      </c>
      <c r="G1296" s="4">
        <v>701</v>
      </c>
      <c r="H1296" t="str">
        <f>"WBS0802493930"</f>
        <v>WBS0802493930</v>
      </c>
    </row>
    <row r="1297" spans="1:8" x14ac:dyDescent="0.25">
      <c r="E1297" t="str">
        <f>""</f>
        <v/>
      </c>
      <c r="F1297" t="str">
        <f>""</f>
        <v/>
      </c>
      <c r="G1297" s="4">
        <v>434</v>
      </c>
      <c r="H1297" t="str">
        <f>"WOS0801263930"</f>
        <v>WOS0801263930</v>
      </c>
    </row>
    <row r="1298" spans="1:8" x14ac:dyDescent="0.25">
      <c r="E1298" t="str">
        <f>""</f>
        <v/>
      </c>
      <c r="F1298" t="str">
        <f>""</f>
        <v/>
      </c>
      <c r="G1298" s="4">
        <v>937.8</v>
      </c>
      <c r="H1298" t="str">
        <f>"WOS080182443930"</f>
        <v>WOS080182443930</v>
      </c>
    </row>
    <row r="1299" spans="1:8" x14ac:dyDescent="0.25">
      <c r="E1299" t="str">
        <f>""</f>
        <v/>
      </c>
      <c r="F1299" t="str">
        <f>""</f>
        <v/>
      </c>
      <c r="G1299" s="4">
        <v>260.5</v>
      </c>
      <c r="H1299" t="str">
        <f>"WOS08024303930"</f>
        <v>WOS08024303930</v>
      </c>
    </row>
    <row r="1300" spans="1:8" x14ac:dyDescent="0.25">
      <c r="E1300" t="str">
        <f>""</f>
        <v/>
      </c>
      <c r="F1300" t="str">
        <f>""</f>
        <v/>
      </c>
      <c r="G1300" s="4">
        <v>275</v>
      </c>
      <c r="H1300" t="str">
        <f>"YOS063483931"</f>
        <v>YOS063483931</v>
      </c>
    </row>
    <row r="1301" spans="1:8" x14ac:dyDescent="0.25">
      <c r="E1301" t="str">
        <f>""</f>
        <v/>
      </c>
      <c r="F1301" t="str">
        <f>""</f>
        <v/>
      </c>
      <c r="G1301" s="4">
        <v>416.8</v>
      </c>
      <c r="H1301" t="str">
        <f>"YOS08024d3931"</f>
        <v>YOS08024d3931</v>
      </c>
    </row>
    <row r="1302" spans="1:8" x14ac:dyDescent="0.25">
      <c r="A1302" t="s">
        <v>397</v>
      </c>
      <c r="B1302">
        <v>138338</v>
      </c>
      <c r="C1302" s="4">
        <v>295.14999999999998</v>
      </c>
      <c r="D1302" s="1">
        <v>44543</v>
      </c>
      <c r="E1302" t="str">
        <f>"1021-DR14926"</f>
        <v>1021-DR14926</v>
      </c>
      <c r="F1302" t="str">
        <f>"CLIENT ID#CXD 142926"</f>
        <v>CLIENT ID#CXD 142926</v>
      </c>
      <c r="G1302" s="4">
        <v>190.75</v>
      </c>
      <c r="H1302" t="str">
        <f>"CLIENT ID#CXD 142926"</f>
        <v>CLIENT ID#CXD 142926</v>
      </c>
    </row>
    <row r="1303" spans="1:8" x14ac:dyDescent="0.25">
      <c r="E1303" t="str">
        <f>"1121 - DR14926"</f>
        <v>1121 - DR14926</v>
      </c>
      <c r="F1303" t="str">
        <f>"CXD 14926 / NOVEMBER 2021"</f>
        <v>CXD 14926 / NOVEMBER 2021</v>
      </c>
      <c r="G1303" s="4">
        <v>104.4</v>
      </c>
      <c r="H1303" t="str">
        <f>"CXD 14926 / NOVEMBER 2021"</f>
        <v>CXD 14926 / NOVEMBER 2021</v>
      </c>
    </row>
    <row r="1304" spans="1:8" x14ac:dyDescent="0.25">
      <c r="A1304" t="s">
        <v>398</v>
      </c>
      <c r="B1304">
        <v>5496</v>
      </c>
      <c r="C1304" s="4">
        <v>2724.02</v>
      </c>
      <c r="D1304" s="1">
        <v>44544</v>
      </c>
      <c r="E1304" t="str">
        <f>"22153"</f>
        <v>22153</v>
      </c>
      <c r="F1304" t="str">
        <f>"COLD MIX/PCT#4"</f>
        <v>COLD MIX/PCT#4</v>
      </c>
      <c r="G1304" s="4">
        <v>2724.02</v>
      </c>
      <c r="H1304" t="str">
        <f>"COLD MIX/PCT#4"</f>
        <v>COLD MIX/PCT#4</v>
      </c>
    </row>
    <row r="1305" spans="1:8" x14ac:dyDescent="0.25">
      <c r="A1305" t="s">
        <v>398</v>
      </c>
      <c r="B1305">
        <v>5569</v>
      </c>
      <c r="C1305" s="4">
        <v>2732.72</v>
      </c>
      <c r="D1305" s="1">
        <v>44558</v>
      </c>
      <c r="E1305" t="str">
        <f>"22256"</f>
        <v>22256</v>
      </c>
      <c r="F1305" t="str">
        <f>"COLD MIX/FREIGHT/PCT#4"</f>
        <v>COLD MIX/FREIGHT/PCT#4</v>
      </c>
      <c r="G1305" s="4">
        <v>2732.72</v>
      </c>
      <c r="H1305" t="str">
        <f>"COLD MIX/FREIGHT/PCT#4"</f>
        <v>COLD MIX/FREIGHT/PCT#4</v>
      </c>
    </row>
    <row r="1306" spans="1:8" x14ac:dyDescent="0.25">
      <c r="A1306" t="s">
        <v>399</v>
      </c>
      <c r="B1306">
        <v>138152</v>
      </c>
      <c r="C1306" s="4">
        <v>10895.88</v>
      </c>
      <c r="D1306" s="1">
        <v>44533</v>
      </c>
      <c r="E1306" t="str">
        <f>"11525952"</f>
        <v>11525952</v>
      </c>
      <c r="F1306" t="str">
        <f>"ACCT#5150-005117630 / 11302021"</f>
        <v>ACCT#5150-005117630 / 11302021</v>
      </c>
      <c r="G1306" s="4">
        <v>275.95</v>
      </c>
      <c r="H1306" t="str">
        <f t="shared" ref="H1306:H1313" si="16">"WASTE CONNECTIONS LONE STAR. I"</f>
        <v>WASTE CONNECTIONS LONE STAR. I</v>
      </c>
    </row>
    <row r="1307" spans="1:8" x14ac:dyDescent="0.25">
      <c r="E1307" t="str">
        <f>"11525959"</f>
        <v>11525959</v>
      </c>
      <c r="F1307" t="str">
        <f>"ACCT#5150-005117766 / 11302021"</f>
        <v>ACCT#5150-005117766 / 11302021</v>
      </c>
      <c r="G1307" s="4">
        <v>121.13</v>
      </c>
      <c r="H1307" t="str">
        <f t="shared" si="16"/>
        <v>WASTE CONNECTIONS LONE STAR. I</v>
      </c>
    </row>
    <row r="1308" spans="1:8" x14ac:dyDescent="0.25">
      <c r="E1308" t="str">
        <f>"11525963"</f>
        <v>11525963</v>
      </c>
      <c r="F1308" t="str">
        <f>"ACCT#5150-005117838 / 11302021"</f>
        <v>ACCT#5150-005117838 / 11302021</v>
      </c>
      <c r="G1308" s="4">
        <v>112.1</v>
      </c>
      <c r="H1308" t="str">
        <f t="shared" si="16"/>
        <v>WASTE CONNECTIONS LONE STAR. I</v>
      </c>
    </row>
    <row r="1309" spans="1:8" x14ac:dyDescent="0.25">
      <c r="E1309" t="str">
        <f>"11525965"</f>
        <v>11525965</v>
      </c>
      <c r="F1309" t="str">
        <f>"ACCT#5150-005117882 / 11302021"</f>
        <v>ACCT#5150-005117882 / 11302021</v>
      </c>
      <c r="G1309" s="4">
        <v>151.4</v>
      </c>
      <c r="H1309" t="str">
        <f t="shared" si="16"/>
        <v>WASTE CONNECTIONS LONE STAR. I</v>
      </c>
    </row>
    <row r="1310" spans="1:8" x14ac:dyDescent="0.25">
      <c r="E1310" t="str">
        <f>"11525973"</f>
        <v>11525973</v>
      </c>
      <c r="F1310" t="str">
        <f>"ACCT#5150-005118183 / 11302021"</f>
        <v>ACCT#5150-005118183 / 11302021</v>
      </c>
      <c r="G1310" s="4">
        <v>649.91</v>
      </c>
      <c r="H1310" t="str">
        <f t="shared" si="16"/>
        <v>WASTE CONNECTIONS LONE STAR. I</v>
      </c>
    </row>
    <row r="1311" spans="1:8" x14ac:dyDescent="0.25">
      <c r="E1311" t="str">
        <f>"11526002"</f>
        <v>11526002</v>
      </c>
      <c r="F1311" t="str">
        <f>"ACCT#5150-005129483 / 11302021"</f>
        <v>ACCT#5150-005129483 / 11302021</v>
      </c>
      <c r="G1311" s="4">
        <v>9467.4</v>
      </c>
      <c r="H1311" t="str">
        <f t="shared" si="16"/>
        <v>WASTE CONNECTIONS LONE STAR. I</v>
      </c>
    </row>
    <row r="1312" spans="1:8" x14ac:dyDescent="0.25">
      <c r="E1312" t="str">
        <f>"11529940"</f>
        <v>11529940</v>
      </c>
      <c r="F1312" t="str">
        <f>"ACCT#5150-16203415 / 11302021"</f>
        <v>ACCT#5150-16203415 / 11302021</v>
      </c>
      <c r="G1312" s="4">
        <v>87.66</v>
      </c>
      <c r="H1312" t="str">
        <f t="shared" si="16"/>
        <v>WASTE CONNECTIONS LONE STAR. I</v>
      </c>
    </row>
    <row r="1313" spans="1:8" x14ac:dyDescent="0.25">
      <c r="E1313" t="str">
        <f>"11529941"</f>
        <v>11529941</v>
      </c>
      <c r="F1313" t="str">
        <f>"ACCT#5150-16203417 / 113021"</f>
        <v>ACCT#5150-16203417 / 113021</v>
      </c>
      <c r="G1313" s="4">
        <v>30.33</v>
      </c>
      <c r="H1313" t="str">
        <f t="shared" si="16"/>
        <v>WASTE CONNECTIONS LONE STAR. I</v>
      </c>
    </row>
    <row r="1314" spans="1:8" x14ac:dyDescent="0.25">
      <c r="A1314" t="s">
        <v>400</v>
      </c>
      <c r="B1314">
        <v>138339</v>
      </c>
      <c r="C1314" s="4">
        <v>8318.1299999999992</v>
      </c>
      <c r="D1314" s="1">
        <v>44543</v>
      </c>
      <c r="E1314" t="str">
        <f>"0034063-2161-6"</f>
        <v>0034063-2161-6</v>
      </c>
      <c r="F1314" t="str">
        <f>"CUST#2-57060-55062/PCT#4"</f>
        <v>CUST#2-57060-55062/PCT#4</v>
      </c>
      <c r="G1314" s="4">
        <v>6915.53</v>
      </c>
      <c r="H1314" t="str">
        <f>"CUST#2-57060-55062/PCT#4"</f>
        <v>CUST#2-57060-55062/PCT#4</v>
      </c>
    </row>
    <row r="1315" spans="1:8" x14ac:dyDescent="0.25">
      <c r="E1315" t="str">
        <f>"0134185-2161-6"</f>
        <v>0134185-2161-6</v>
      </c>
      <c r="F1315" t="str">
        <f>"CUST ID:2-56581-95066/ANIMAL C"</f>
        <v>CUST ID:2-56581-95066/ANIMAL C</v>
      </c>
      <c r="G1315" s="4">
        <v>550.20000000000005</v>
      </c>
      <c r="H1315" t="str">
        <f>"CUST ID:2-56581-95066/ANIMAL C"</f>
        <v>CUST ID:2-56581-95066/ANIMAL C</v>
      </c>
    </row>
    <row r="1316" spans="1:8" x14ac:dyDescent="0.25">
      <c r="E1316" t="str">
        <f>"6723220-2161-5"</f>
        <v>6723220-2161-5</v>
      </c>
      <c r="F1316" t="str">
        <f>"CUST#23-90244-23005/PCT#4"</f>
        <v>CUST#23-90244-23005/PCT#4</v>
      </c>
      <c r="G1316" s="4">
        <v>852.4</v>
      </c>
      <c r="H1316" t="str">
        <f>"CUST#23-90244-23005/PCT#4"</f>
        <v>CUST#23-90244-23005/PCT#4</v>
      </c>
    </row>
    <row r="1317" spans="1:8" x14ac:dyDescent="0.25">
      <c r="A1317" t="s">
        <v>401</v>
      </c>
      <c r="B1317">
        <v>5575</v>
      </c>
      <c r="C1317" s="4">
        <v>255.32</v>
      </c>
      <c r="D1317" s="1">
        <v>44558</v>
      </c>
      <c r="E1317" t="str">
        <f>"7092"</f>
        <v>7092</v>
      </c>
      <c r="F1317" t="str">
        <f>"INV 7092"</f>
        <v>INV 7092</v>
      </c>
      <c r="G1317" s="4">
        <v>176.88</v>
      </c>
      <c r="H1317" t="str">
        <f>"INV 7092"</f>
        <v>INV 7092</v>
      </c>
    </row>
    <row r="1318" spans="1:8" x14ac:dyDescent="0.25">
      <c r="E1318" t="str">
        <f>"788"</f>
        <v>788</v>
      </c>
      <c r="F1318" t="str">
        <f>"INV 788"</f>
        <v>INV 788</v>
      </c>
      <c r="G1318" s="4">
        <v>78.44</v>
      </c>
      <c r="H1318" t="str">
        <f>"INV 788"</f>
        <v>INV 788</v>
      </c>
    </row>
    <row r="1319" spans="1:8" x14ac:dyDescent="0.25">
      <c r="A1319" t="s">
        <v>402</v>
      </c>
      <c r="B1319">
        <v>138340</v>
      </c>
      <c r="C1319" s="4">
        <v>600</v>
      </c>
      <c r="D1319" s="1">
        <v>44543</v>
      </c>
      <c r="E1319" t="str">
        <f>"202112027609"</f>
        <v>202112027609</v>
      </c>
      <c r="F1319" t="str">
        <f>"21-20972  INTERPRETER"</f>
        <v>21-20972  INTERPRETER</v>
      </c>
      <c r="G1319" s="4">
        <v>200</v>
      </c>
      <c r="H1319" t="str">
        <f>"21-20972  INTERPRETER"</f>
        <v>21-20972  INTERPRETER</v>
      </c>
    </row>
    <row r="1320" spans="1:8" x14ac:dyDescent="0.25">
      <c r="E1320" t="str">
        <f>"21105"</f>
        <v>21105</v>
      </c>
      <c r="F1320" t="str">
        <f>"INTEPRETATION SERVICES"</f>
        <v>INTEPRETATION SERVICES</v>
      </c>
      <c r="G1320" s="4">
        <v>400</v>
      </c>
      <c r="H1320" t="str">
        <f>"INTEPRETATION SERVICES"</f>
        <v>INTEPRETATION SERVICES</v>
      </c>
    </row>
    <row r="1321" spans="1:8" x14ac:dyDescent="0.25">
      <c r="A1321" t="s">
        <v>403</v>
      </c>
      <c r="B1321">
        <v>5499</v>
      </c>
      <c r="C1321" s="4">
        <v>6659.14</v>
      </c>
      <c r="D1321" s="1">
        <v>44544</v>
      </c>
      <c r="E1321" t="str">
        <f>"29801"</f>
        <v>29801</v>
      </c>
      <c r="F1321" t="str">
        <f>"INV 29801"</f>
        <v>INV 29801</v>
      </c>
      <c r="G1321" s="4">
        <v>6659.14</v>
      </c>
      <c r="H1321" t="str">
        <f>"INV 29801"</f>
        <v>INV 29801</v>
      </c>
    </row>
    <row r="1322" spans="1:8" x14ac:dyDescent="0.25">
      <c r="A1322" t="s">
        <v>404</v>
      </c>
      <c r="B1322">
        <v>138341</v>
      </c>
      <c r="C1322" s="4">
        <v>640</v>
      </c>
      <c r="D1322" s="1">
        <v>44543</v>
      </c>
      <c r="E1322" t="str">
        <f>"202111297425"</f>
        <v>202111297425</v>
      </c>
      <c r="F1322" t="str">
        <f>"FERAL HOGS"</f>
        <v>FERAL HOGS</v>
      </c>
      <c r="G1322" s="4">
        <v>640</v>
      </c>
      <c r="H1322" t="str">
        <f>"FERAL HOGS"</f>
        <v>FERAL HOGS</v>
      </c>
    </row>
    <row r="1323" spans="1:8" x14ac:dyDescent="0.25">
      <c r="A1323" t="s">
        <v>405</v>
      </c>
      <c r="B1323">
        <v>138342</v>
      </c>
      <c r="C1323" s="4">
        <v>10.7</v>
      </c>
      <c r="D1323" s="1">
        <v>44543</v>
      </c>
      <c r="E1323" t="str">
        <f>"7032720"</f>
        <v>7032720</v>
      </c>
      <c r="F1323" t="str">
        <f>"CUST#339435 PCT#3"</f>
        <v>CUST#339435 PCT#3</v>
      </c>
      <c r="G1323" s="4">
        <v>10.7</v>
      </c>
      <c r="H1323" t="str">
        <f>"CUST#339435 PCT#3"</f>
        <v>CUST#339435 PCT#3</v>
      </c>
    </row>
    <row r="1324" spans="1:8" x14ac:dyDescent="0.25">
      <c r="A1324" t="s">
        <v>405</v>
      </c>
      <c r="B1324">
        <v>138499</v>
      </c>
      <c r="C1324" s="4">
        <v>212.6</v>
      </c>
      <c r="D1324" s="1">
        <v>44557</v>
      </c>
      <c r="E1324" t="str">
        <f>"7046982"</f>
        <v>7046982</v>
      </c>
      <c r="F1324" t="str">
        <f>"CUST # 339435 / PARTS / PCT #3"</f>
        <v>CUST # 339435 / PARTS / PCT #3</v>
      </c>
      <c r="G1324" s="4">
        <v>212.6</v>
      </c>
      <c r="H1324" t="str">
        <f>"CUST # 339435 / PARTS / PCT #3"</f>
        <v>CUST # 339435 / PARTS / PCT #3</v>
      </c>
    </row>
    <row r="1325" spans="1:8" x14ac:dyDescent="0.25">
      <c r="A1325" t="s">
        <v>406</v>
      </c>
      <c r="B1325">
        <v>138343</v>
      </c>
      <c r="C1325" s="4">
        <v>2669.52</v>
      </c>
      <c r="D1325" s="1">
        <v>44543</v>
      </c>
      <c r="E1325" t="str">
        <f>"SM210053"</f>
        <v>SM210053</v>
      </c>
      <c r="F1325" t="str">
        <f>"WORKPLACE RESOURCE"</f>
        <v>WORKPLACE RESOURCE</v>
      </c>
      <c r="G1325" s="4">
        <v>2669.52</v>
      </c>
      <c r="H1325" t="str">
        <f>"Office Chair"</f>
        <v>Office Chair</v>
      </c>
    </row>
    <row r="1326" spans="1:8" x14ac:dyDescent="0.25">
      <c r="A1326" t="s">
        <v>407</v>
      </c>
      <c r="B1326">
        <v>138344</v>
      </c>
      <c r="C1326" s="4">
        <v>25</v>
      </c>
      <c r="D1326" s="1">
        <v>44543</v>
      </c>
      <c r="E1326" t="s">
        <v>113</v>
      </c>
      <c r="F1326" s="4" t="str">
        <f>"RESTITUTION - MARCUS MANZANARE"</f>
        <v>RESTITUTION - MARCUS MANZANARE</v>
      </c>
      <c r="G1326" s="4">
        <v>25</v>
      </c>
      <c r="H1326" t="str">
        <f>"RESTITUTION - MARCUS MANZANARE"</f>
        <v>RESTITUTION - MARCUS MANZANARE</v>
      </c>
    </row>
    <row r="1327" spans="1:8" x14ac:dyDescent="0.25">
      <c r="A1327" t="s">
        <v>408</v>
      </c>
      <c r="B1327">
        <v>138345</v>
      </c>
      <c r="C1327" s="4">
        <v>3108.94</v>
      </c>
      <c r="D1327" s="1">
        <v>44543</v>
      </c>
      <c r="E1327" t="str">
        <f>"202112087728"</f>
        <v>202112087728</v>
      </c>
      <c r="F1327" t="str">
        <f>"CUST#1000113183/ANIMAL SVCS"</f>
        <v>CUST#1000113183/ANIMAL SVCS</v>
      </c>
      <c r="G1327" s="4">
        <v>3108.94</v>
      </c>
      <c r="H1327" t="str">
        <f>"CUST#1000113183/ANIMAL SVCS"</f>
        <v>CUST#1000113183/ANIMAL SVCS</v>
      </c>
    </row>
    <row r="1328" spans="1:8" x14ac:dyDescent="0.25">
      <c r="A1328" t="s">
        <v>408</v>
      </c>
      <c r="B1328">
        <v>138500</v>
      </c>
      <c r="C1328" s="4">
        <v>1847.2</v>
      </c>
      <c r="D1328" s="1">
        <v>44557</v>
      </c>
      <c r="E1328" t="str">
        <f>"9015153110"</f>
        <v>9015153110</v>
      </c>
      <c r="F1328" t="str">
        <f>"CUST#1000113183/ANIMAL SVCS"</f>
        <v>CUST#1000113183/ANIMAL SVCS</v>
      </c>
      <c r="G1328" s="4">
        <v>1847.2</v>
      </c>
      <c r="H1328" t="str">
        <f>"CUST#1000113183/ANIMAL SVCS"</f>
        <v>CUST#1000113183/ANIMAL SVCS</v>
      </c>
    </row>
    <row r="1329" spans="1:8" x14ac:dyDescent="0.25">
      <c r="A1329" t="s">
        <v>32</v>
      </c>
      <c r="B1329">
        <v>138346</v>
      </c>
      <c r="C1329" s="4">
        <v>105.99</v>
      </c>
      <c r="D1329" s="1">
        <v>44543</v>
      </c>
      <c r="E1329" t="str">
        <f>"202112027652"</f>
        <v>202112027652</v>
      </c>
      <c r="F1329" t="str">
        <f>"ACCT#015397/BOOT CAMP"</f>
        <v>ACCT#015397/BOOT CAMP</v>
      </c>
      <c r="G1329" s="4">
        <v>105.99</v>
      </c>
      <c r="H1329" t="str">
        <f>"ACCT#015397/BOOT CAMP"</f>
        <v>ACCT#015397/BOOT CAMP</v>
      </c>
    </row>
    <row r="1330" spans="1:8" x14ac:dyDescent="0.25">
      <c r="A1330" t="s">
        <v>48</v>
      </c>
      <c r="B1330">
        <v>5607</v>
      </c>
      <c r="C1330" s="4">
        <v>5850.1</v>
      </c>
      <c r="D1330" s="1">
        <v>44558</v>
      </c>
      <c r="E1330" t="str">
        <f>"1650"</f>
        <v>1650</v>
      </c>
      <c r="F1330" t="str">
        <f>"LABOR / PCT #1"</f>
        <v>LABOR / PCT #1</v>
      </c>
      <c r="G1330" s="4">
        <v>1650</v>
      </c>
      <c r="H1330" t="str">
        <f>"LABOR / PCT #1"</f>
        <v>LABOR / PCT #1</v>
      </c>
    </row>
    <row r="1331" spans="1:8" x14ac:dyDescent="0.25">
      <c r="E1331" t="str">
        <f>"1651"</f>
        <v>1651</v>
      </c>
      <c r="F1331" t="str">
        <f>"MATERIAL / PCT #1"</f>
        <v>MATERIAL / PCT #1</v>
      </c>
      <c r="G1331" s="4">
        <v>4200.1000000000004</v>
      </c>
      <c r="H1331" t="str">
        <f>"MATERIAL / PCT #1"</f>
        <v>MATERIAL / PCT #1</v>
      </c>
    </row>
    <row r="1332" spans="1:8" x14ac:dyDescent="0.25">
      <c r="A1332" t="s">
        <v>68</v>
      </c>
      <c r="B1332">
        <v>138157</v>
      </c>
      <c r="C1332" s="4">
        <v>231.31</v>
      </c>
      <c r="D1332" s="1">
        <v>44539</v>
      </c>
      <c r="E1332" t="str">
        <f>"202112097746"</f>
        <v>202112097746</v>
      </c>
      <c r="F1332" t="str">
        <f>"ACCT#50000057374 / 12022021"</f>
        <v>ACCT#50000057374 / 12022021</v>
      </c>
      <c r="G1332" s="4">
        <v>231.31</v>
      </c>
      <c r="H1332" t="str">
        <f>"ACCT#50000057374 / 12022021"</f>
        <v>ACCT#50000057374 / 12022021</v>
      </c>
    </row>
    <row r="1333" spans="1:8" x14ac:dyDescent="0.25">
      <c r="A1333" t="s">
        <v>409</v>
      </c>
      <c r="B1333">
        <v>138501</v>
      </c>
      <c r="C1333" s="4">
        <v>164181</v>
      </c>
      <c r="D1333" s="1">
        <v>44557</v>
      </c>
      <c r="E1333" t="str">
        <f>"19073"</f>
        <v>19073</v>
      </c>
      <c r="F1333" t="str">
        <f>"Rising Pines"</f>
        <v>Rising Pines</v>
      </c>
      <c r="G1333" s="4">
        <v>164181</v>
      </c>
      <c r="H1333" t="str">
        <f>"Job #19073"</f>
        <v>Job #19073</v>
      </c>
    </row>
    <row r="1334" spans="1:8" x14ac:dyDescent="0.25">
      <c r="A1334" t="s">
        <v>97</v>
      </c>
      <c r="B1334">
        <v>138347</v>
      </c>
      <c r="C1334" s="4">
        <v>19800</v>
      </c>
      <c r="D1334" s="1">
        <v>44543</v>
      </c>
      <c r="E1334" t="str">
        <f>"21-7919"</f>
        <v>21-7919</v>
      </c>
      <c r="F1334" t="str">
        <f>"CDBG-DR-20-065-139-C527"</f>
        <v>CDBG-DR-20-065-139-C527</v>
      </c>
      <c r="G1334" s="4">
        <v>19800</v>
      </c>
      <c r="H1334" t="str">
        <f>"CDBG-DR-20-065-139-C527"</f>
        <v>CDBG-DR-20-065-139-C527</v>
      </c>
    </row>
    <row r="1335" spans="1:8" x14ac:dyDescent="0.25">
      <c r="A1335" t="s">
        <v>410</v>
      </c>
      <c r="B1335">
        <v>5470</v>
      </c>
      <c r="C1335" s="4">
        <v>5278</v>
      </c>
      <c r="D1335" s="1">
        <v>44544</v>
      </c>
      <c r="E1335" t="str">
        <f>"21196"</f>
        <v>21196</v>
      </c>
      <c r="F1335" t="str">
        <f>"21196 RR BOOTCAMP FIBER"</f>
        <v>21196 RR BOOTCAMP FIBER</v>
      </c>
      <c r="G1335" s="4">
        <v>3408</v>
      </c>
      <c r="H1335" t="str">
        <f>"21196 RR BOOTCAMP FIBER"</f>
        <v>21196 RR BOOTCAMP FIBER</v>
      </c>
    </row>
    <row r="1336" spans="1:8" x14ac:dyDescent="0.25">
      <c r="E1336" t="str">
        <f>"21206"</f>
        <v>21206</v>
      </c>
      <c r="F1336" t="str">
        <f>"21206 RR BOOT CAMP CAMERA"</f>
        <v>21206 RR BOOT CAMP CAMERA</v>
      </c>
      <c r="G1336" s="4">
        <v>1870</v>
      </c>
      <c r="H1336" t="str">
        <f>"21206 RR BOOT CAMP CAMERA"</f>
        <v>21206 RR BOOT CAMP CAMERA</v>
      </c>
    </row>
    <row r="1337" spans="1:8" x14ac:dyDescent="0.25">
      <c r="A1337" t="s">
        <v>410</v>
      </c>
      <c r="B1337">
        <v>5608</v>
      </c>
      <c r="C1337" s="4">
        <v>5880</v>
      </c>
      <c r="D1337" s="1">
        <v>44558</v>
      </c>
      <c r="E1337" t="str">
        <f>"21043"</f>
        <v>21043</v>
      </c>
      <c r="F1337" t="str">
        <f>"FIBER INSTALLATION"</f>
        <v>FIBER INSTALLATION</v>
      </c>
      <c r="G1337" s="4">
        <v>5880</v>
      </c>
      <c r="H1337" t="str">
        <f>"FIBER INSTALLATION"</f>
        <v>FIBER INSTALLATION</v>
      </c>
    </row>
    <row r="1338" spans="1:8" x14ac:dyDescent="0.25">
      <c r="A1338" t="s">
        <v>122</v>
      </c>
      <c r="B1338">
        <v>138348</v>
      </c>
      <c r="C1338" s="4">
        <v>112718.9</v>
      </c>
      <c r="D1338" s="1">
        <v>44543</v>
      </c>
      <c r="E1338" t="str">
        <f>"C000000006841"</f>
        <v>C000000006841</v>
      </c>
      <c r="F1338" t="str">
        <f>"DELL Rugged Laprtops SO"</f>
        <v>DELL Rugged Laprtops SO</v>
      </c>
      <c r="G1338" s="4">
        <v>112718.9</v>
      </c>
      <c r="H1338" t="str">
        <f>"DELL Rugged Laptops SO"</f>
        <v>DELL Rugged Laptops SO</v>
      </c>
    </row>
    <row r="1339" spans="1:8" x14ac:dyDescent="0.25">
      <c r="A1339" t="s">
        <v>157</v>
      </c>
      <c r="B1339">
        <v>5472</v>
      </c>
      <c r="C1339" s="4">
        <v>130179.1</v>
      </c>
      <c r="D1339" s="1">
        <v>44544</v>
      </c>
      <c r="E1339" t="str">
        <f>"DE-1702"</f>
        <v>DE-1702</v>
      </c>
      <c r="F1339" t="str">
        <f>"AUSTIN TRUCK AND EQUIPMENT  LT"</f>
        <v>AUSTIN TRUCK AND EQUIPMENT  LT</v>
      </c>
      <c r="G1339" s="4">
        <v>130179.1</v>
      </c>
      <c r="H1339" t="str">
        <f>"122Sd Freightliner"</f>
        <v>122Sd Freightliner</v>
      </c>
    </row>
    <row r="1340" spans="1:8" x14ac:dyDescent="0.25">
      <c r="A1340" t="s">
        <v>170</v>
      </c>
      <c r="B1340">
        <v>5473</v>
      </c>
      <c r="C1340" s="4">
        <v>29936.37</v>
      </c>
      <c r="D1340" s="1">
        <v>44544</v>
      </c>
      <c r="E1340" t="str">
        <f>"10062772"</f>
        <v>10062772</v>
      </c>
      <c r="F1340" t="str">
        <f>"PROJ#033387.009"</f>
        <v>PROJ#033387.009</v>
      </c>
      <c r="G1340" s="4">
        <v>29936.37</v>
      </c>
      <c r="H1340" t="str">
        <f>"PROJ#033387.009"</f>
        <v>PROJ#033387.009</v>
      </c>
    </row>
    <row r="1341" spans="1:8" x14ac:dyDescent="0.25">
      <c r="A1341" t="s">
        <v>411</v>
      </c>
      <c r="B1341">
        <v>5609</v>
      </c>
      <c r="C1341" s="4">
        <v>463217.66</v>
      </c>
      <c r="D1341" s="1">
        <v>44558</v>
      </c>
      <c r="E1341" t="str">
        <f>"65515-3"</f>
        <v>65515-3</v>
      </c>
      <c r="F1341" t="str">
        <f>"RFB 21BCP05D - Asphalt"</f>
        <v>RFB 21BCP05D - Asphalt</v>
      </c>
      <c r="G1341" s="4">
        <v>166517.6</v>
      </c>
      <c r="H1341" t="str">
        <f>"Cardinal LN Overlay"</f>
        <v>Cardinal LN Overlay</v>
      </c>
    </row>
    <row r="1342" spans="1:8" x14ac:dyDescent="0.25">
      <c r="E1342" t="str">
        <f>""</f>
        <v/>
      </c>
      <c r="F1342" t="str">
        <f>""</f>
        <v/>
      </c>
      <c r="G1342" s="4">
        <v>93039.66</v>
      </c>
      <c r="H1342" t="str">
        <f>"Cardinal Lane Repair"</f>
        <v>Cardinal Lane Repair</v>
      </c>
    </row>
    <row r="1343" spans="1:8" x14ac:dyDescent="0.25">
      <c r="E1343" t="str">
        <f>""</f>
        <v/>
      </c>
      <c r="F1343" t="str">
        <f>""</f>
        <v/>
      </c>
      <c r="G1343" s="4">
        <v>203660.4</v>
      </c>
      <c r="H1343" t="str">
        <f>"Cardinal LN Overlay"</f>
        <v>Cardinal LN Overlay</v>
      </c>
    </row>
    <row r="1344" spans="1:8" x14ac:dyDescent="0.25">
      <c r="A1344" t="s">
        <v>412</v>
      </c>
      <c r="B1344">
        <v>138506</v>
      </c>
      <c r="C1344" s="4">
        <v>544.64</v>
      </c>
      <c r="D1344" s="1">
        <v>44558</v>
      </c>
      <c r="E1344" t="str">
        <f>"202112287974"</f>
        <v>202112287974</v>
      </c>
      <c r="F1344" t="str">
        <f>"Payment for AC Unit"</f>
        <v>Payment for AC Unit</v>
      </c>
      <c r="G1344" s="4">
        <v>544.64</v>
      </c>
      <c r="H1344" t="str">
        <f>"Payment for AC Unit"</f>
        <v>Payment for AC Unit</v>
      </c>
    </row>
    <row r="1345" spans="1:8" x14ac:dyDescent="0.25">
      <c r="A1345" t="s">
        <v>306</v>
      </c>
      <c r="B1345">
        <v>5471</v>
      </c>
      <c r="C1345" s="4">
        <v>1000</v>
      </c>
      <c r="D1345" s="1">
        <v>44544</v>
      </c>
      <c r="E1345" t="str">
        <f>"WA 2802-2021B"</f>
        <v>WA 2802-2021B</v>
      </c>
      <c r="F1345" t="str">
        <f>"BOUNDARY SURVEY - PCT 1"</f>
        <v>BOUNDARY SURVEY - PCT 1</v>
      </c>
      <c r="G1345" s="4">
        <v>1000</v>
      </c>
      <c r="H1345" t="str">
        <f>"BOUNDARY SURVEY - PCT 1"</f>
        <v>BOUNDARY SURVEY - PCT 1</v>
      </c>
    </row>
    <row r="1346" spans="1:8" x14ac:dyDescent="0.25">
      <c r="A1346" t="s">
        <v>413</v>
      </c>
      <c r="B1346">
        <v>138502</v>
      </c>
      <c r="C1346" s="4">
        <v>193.36</v>
      </c>
      <c r="D1346" s="1">
        <v>44557</v>
      </c>
      <c r="E1346" t="str">
        <f>"SD005186490"</f>
        <v>SD005186490</v>
      </c>
      <c r="F1346" t="str">
        <f>"TACTICAL UNIFORMS - BOOT CAMP"</f>
        <v>TACTICAL UNIFORMS - BOOT CAMP</v>
      </c>
      <c r="G1346" s="4">
        <v>193.36</v>
      </c>
      <c r="H1346" t="str">
        <f>"TACTICAL UNIFORMS - BOOT CAMP"</f>
        <v>TACTICAL UNIFORMS - BOOT CAMP</v>
      </c>
    </row>
    <row r="1347" spans="1:8" x14ac:dyDescent="0.25">
      <c r="A1347" t="s">
        <v>356</v>
      </c>
      <c r="B1347">
        <v>138503</v>
      </c>
      <c r="C1347" s="4">
        <v>1058.75</v>
      </c>
      <c r="D1347" s="1">
        <v>44557</v>
      </c>
      <c r="E1347" t="str">
        <f>"NRCN-34691-WC1-APT"</f>
        <v>NRCN-34691-WC1-APT</v>
      </c>
      <c r="F1347" t="str">
        <f>"WORKERS COMP 1ST QTR 2022"</f>
        <v>WORKERS COMP 1ST QTR 2022</v>
      </c>
      <c r="G1347" s="4">
        <v>1058.75</v>
      </c>
      <c r="H1347" t="str">
        <f>"WORKERS COMP 1ST QTR 2022"</f>
        <v>WORKERS COMP 1ST QTR 2022</v>
      </c>
    </row>
    <row r="1348" spans="1:8" x14ac:dyDescent="0.25">
      <c r="A1348" t="s">
        <v>414</v>
      </c>
      <c r="B1348">
        <v>138349</v>
      </c>
      <c r="C1348" s="4">
        <v>9273</v>
      </c>
      <c r="D1348" s="1">
        <v>44543</v>
      </c>
      <c r="E1348" t="str">
        <f>"19151"</f>
        <v>19151</v>
      </c>
      <c r="F1348" t="str">
        <f>"SAM CAR INC."</f>
        <v>SAM CAR INC.</v>
      </c>
      <c r="G1348" s="4">
        <v>9273</v>
      </c>
      <c r="H1348" t="str">
        <f>"Gazebo"</f>
        <v>Gazebo</v>
      </c>
    </row>
    <row r="1349" spans="1:8" x14ac:dyDescent="0.25">
      <c r="A1349" t="s">
        <v>415</v>
      </c>
      <c r="B1349">
        <v>138350</v>
      </c>
      <c r="C1349" s="4">
        <v>51102.58</v>
      </c>
      <c r="D1349" s="1">
        <v>44543</v>
      </c>
      <c r="E1349" t="str">
        <f>"202112077700"</f>
        <v>202112077700</v>
      </c>
      <c r="F1349" t="str">
        <f>"DR 4029 - PW 905"</f>
        <v>DR 4029 - PW 905</v>
      </c>
      <c r="G1349" s="4">
        <v>51102.58</v>
      </c>
      <c r="H1349" t="str">
        <f>"DR 4029 - PW 905"</f>
        <v>DR 4029 - PW 905</v>
      </c>
    </row>
    <row r="1350" spans="1:8" x14ac:dyDescent="0.25">
      <c r="A1350" t="s">
        <v>382</v>
      </c>
      <c r="B1350">
        <v>138351</v>
      </c>
      <c r="C1350" s="4">
        <v>612.08000000000004</v>
      </c>
      <c r="D1350" s="1">
        <v>44543</v>
      </c>
      <c r="E1350" t="str">
        <f>"T85206"</f>
        <v>T85206</v>
      </c>
      <c r="F1350" t="str">
        <f>"TICKET#356521/72/27 / PCT#1"</f>
        <v>TICKET#356521/72/27 / PCT#1</v>
      </c>
      <c r="G1350" s="4">
        <v>612.08000000000004</v>
      </c>
      <c r="H1350" t="str">
        <f>"TICKET#356521/72/27 / PCT#1"</f>
        <v>TICKET#356521/72/27 / PCT#1</v>
      </c>
    </row>
    <row r="1351" spans="1:8" x14ac:dyDescent="0.25">
      <c r="A1351" t="s">
        <v>416</v>
      </c>
      <c r="B1351">
        <v>1484</v>
      </c>
      <c r="C1351" s="4">
        <v>450</v>
      </c>
      <c r="D1351" s="1">
        <v>44543</v>
      </c>
      <c r="E1351" t="str">
        <f>"6240301"</f>
        <v>6240301</v>
      </c>
      <c r="F1351" t="str">
        <f>"PAYING AGENT FEE - SERIES 2018"</f>
        <v>PAYING AGENT FEE - SERIES 2018</v>
      </c>
      <c r="G1351" s="4">
        <v>450</v>
      </c>
      <c r="H1351" t="str">
        <f>"PAYING AGENT FEE - SERIES 2018"</f>
        <v>PAYING AGENT FEE - SERIES 2018</v>
      </c>
    </row>
    <row r="1352" spans="1:8" x14ac:dyDescent="0.25">
      <c r="A1352" t="s">
        <v>417</v>
      </c>
      <c r="B1352">
        <v>1528</v>
      </c>
      <c r="C1352" s="4">
        <v>3799.14</v>
      </c>
      <c r="D1352" s="1">
        <v>44557</v>
      </c>
      <c r="E1352" t="str">
        <f>"202112277959"</f>
        <v>202112277959</v>
      </c>
      <c r="F1352" t="str">
        <f>"ADJ - DECEMBER 2021"</f>
        <v>ADJ - DECEMBER 2021</v>
      </c>
      <c r="G1352" s="4">
        <v>37.700000000000003</v>
      </c>
      <c r="H1352" t="str">
        <f>"ADJ - DECEMBER 2021"</f>
        <v>ADJ - DECEMBER 2021</v>
      </c>
    </row>
    <row r="1353" spans="1:8" x14ac:dyDescent="0.25">
      <c r="E1353" t="str">
        <f>"AS 202112077701"</f>
        <v>AS 202112077701</v>
      </c>
      <c r="F1353" t="str">
        <f t="shared" ref="F1353:F1366" si="17">"ALLSTATE"</f>
        <v>ALLSTATE</v>
      </c>
      <c r="G1353" s="4">
        <v>333.96</v>
      </c>
      <c r="H1353" t="str">
        <f t="shared" ref="H1353:H1366" si="18">"ALLSTATE"</f>
        <v>ALLSTATE</v>
      </c>
    </row>
    <row r="1354" spans="1:8" x14ac:dyDescent="0.25">
      <c r="E1354" t="str">
        <f>"AS 202112077702"</f>
        <v>AS 202112077702</v>
      </c>
      <c r="F1354" t="str">
        <f t="shared" si="17"/>
        <v>ALLSTATE</v>
      </c>
      <c r="G1354" s="4">
        <v>27.14</v>
      </c>
      <c r="H1354" t="str">
        <f t="shared" si="18"/>
        <v>ALLSTATE</v>
      </c>
    </row>
    <row r="1355" spans="1:8" x14ac:dyDescent="0.25">
      <c r="E1355" t="str">
        <f>"AS 202112177863"</f>
        <v>AS 202112177863</v>
      </c>
      <c r="F1355" t="str">
        <f t="shared" si="17"/>
        <v>ALLSTATE</v>
      </c>
      <c r="G1355" s="4">
        <v>333.96</v>
      </c>
      <c r="H1355" t="str">
        <f t="shared" si="18"/>
        <v>ALLSTATE</v>
      </c>
    </row>
    <row r="1356" spans="1:8" x14ac:dyDescent="0.25">
      <c r="E1356" t="str">
        <f>"AS 202112177864"</f>
        <v>AS 202112177864</v>
      </c>
      <c r="F1356" t="str">
        <f t="shared" si="17"/>
        <v>ALLSTATE</v>
      </c>
      <c r="G1356" s="4">
        <v>13.57</v>
      </c>
      <c r="H1356" t="str">
        <f t="shared" si="18"/>
        <v>ALLSTATE</v>
      </c>
    </row>
    <row r="1357" spans="1:8" x14ac:dyDescent="0.25">
      <c r="E1357" t="str">
        <f>"ASD202112077701"</f>
        <v>ASD202112077701</v>
      </c>
      <c r="F1357" t="str">
        <f t="shared" si="17"/>
        <v>ALLSTATE</v>
      </c>
      <c r="G1357" s="4">
        <v>156.19999999999999</v>
      </c>
      <c r="H1357" t="str">
        <f t="shared" si="18"/>
        <v>ALLSTATE</v>
      </c>
    </row>
    <row r="1358" spans="1:8" x14ac:dyDescent="0.25">
      <c r="E1358" t="str">
        <f>"ASD202112177863"</f>
        <v>ASD202112177863</v>
      </c>
      <c r="F1358" t="str">
        <f t="shared" si="17"/>
        <v>ALLSTATE</v>
      </c>
      <c r="G1358" s="4">
        <v>156.19999999999999</v>
      </c>
      <c r="H1358" t="str">
        <f t="shared" si="18"/>
        <v>ALLSTATE</v>
      </c>
    </row>
    <row r="1359" spans="1:8" x14ac:dyDescent="0.25">
      <c r="E1359" t="str">
        <f>"ASI202112077701"</f>
        <v>ASI202112077701</v>
      </c>
      <c r="F1359" t="str">
        <f t="shared" si="17"/>
        <v>ALLSTATE</v>
      </c>
      <c r="G1359" s="4">
        <v>430.62</v>
      </c>
      <c r="H1359" t="str">
        <f t="shared" si="18"/>
        <v>ALLSTATE</v>
      </c>
    </row>
    <row r="1360" spans="1:8" x14ac:dyDescent="0.25">
      <c r="E1360" t="str">
        <f>"ASI202112077702"</f>
        <v>ASI202112077702</v>
      </c>
      <c r="F1360" t="str">
        <f t="shared" si="17"/>
        <v>ALLSTATE</v>
      </c>
      <c r="G1360" s="4">
        <v>67.150000000000006</v>
      </c>
      <c r="H1360" t="str">
        <f t="shared" si="18"/>
        <v>ALLSTATE</v>
      </c>
    </row>
    <row r="1361" spans="1:8" x14ac:dyDescent="0.25">
      <c r="E1361" t="str">
        <f>"ASI202112177863"</f>
        <v>ASI202112177863</v>
      </c>
      <c r="F1361" t="str">
        <f t="shared" si="17"/>
        <v>ALLSTATE</v>
      </c>
      <c r="G1361" s="4">
        <v>430.62</v>
      </c>
      <c r="H1361" t="str">
        <f t="shared" si="18"/>
        <v>ALLSTATE</v>
      </c>
    </row>
    <row r="1362" spans="1:8" x14ac:dyDescent="0.25">
      <c r="E1362" t="str">
        <f>"ASI202112177864"</f>
        <v>ASI202112177864</v>
      </c>
      <c r="F1362" t="str">
        <f t="shared" si="17"/>
        <v>ALLSTATE</v>
      </c>
      <c r="G1362" s="4">
        <v>63.02</v>
      </c>
      <c r="H1362" t="str">
        <f t="shared" si="18"/>
        <v>ALLSTATE</v>
      </c>
    </row>
    <row r="1363" spans="1:8" x14ac:dyDescent="0.25">
      <c r="E1363" t="str">
        <f>"AST202112077701"</f>
        <v>AST202112077701</v>
      </c>
      <c r="F1363" t="str">
        <f t="shared" si="17"/>
        <v>ALLSTATE</v>
      </c>
      <c r="G1363" s="4">
        <v>853.09</v>
      </c>
      <c r="H1363" t="str">
        <f t="shared" si="18"/>
        <v>ALLSTATE</v>
      </c>
    </row>
    <row r="1364" spans="1:8" x14ac:dyDescent="0.25">
      <c r="E1364" t="str">
        <f>"AST202112077702"</f>
        <v>AST202112077702</v>
      </c>
      <c r="F1364" t="str">
        <f t="shared" si="17"/>
        <v>ALLSTATE</v>
      </c>
      <c r="G1364" s="4">
        <v>31.41</v>
      </c>
      <c r="H1364" t="str">
        <f t="shared" si="18"/>
        <v>ALLSTATE</v>
      </c>
    </row>
    <row r="1365" spans="1:8" x14ac:dyDescent="0.25">
      <c r="E1365" t="str">
        <f>"AST202112177863"</f>
        <v>AST202112177863</v>
      </c>
      <c r="F1365" t="str">
        <f t="shared" si="17"/>
        <v>ALLSTATE</v>
      </c>
      <c r="G1365" s="4">
        <v>853.09</v>
      </c>
      <c r="H1365" t="str">
        <f t="shared" si="18"/>
        <v>ALLSTATE</v>
      </c>
    </row>
    <row r="1366" spans="1:8" x14ac:dyDescent="0.25">
      <c r="E1366" t="str">
        <f>"AST202112177864"</f>
        <v>AST202112177864</v>
      </c>
      <c r="F1366" t="str">
        <f t="shared" si="17"/>
        <v>ALLSTATE</v>
      </c>
      <c r="G1366" s="4">
        <v>11.41</v>
      </c>
      <c r="H1366" t="str">
        <f t="shared" si="18"/>
        <v>ALLSTATE</v>
      </c>
    </row>
    <row r="1367" spans="1:8" x14ac:dyDescent="0.25">
      <c r="A1367" t="s">
        <v>418</v>
      </c>
      <c r="B1367">
        <v>1530</v>
      </c>
      <c r="C1367" s="4">
        <v>28531.24</v>
      </c>
      <c r="D1367" s="1">
        <v>44557</v>
      </c>
      <c r="E1367" t="str">
        <f>"202112277965"</f>
        <v>202112277965</v>
      </c>
      <c r="F1367" t="str">
        <f>"RETIREE INS - DECEMBER 2021"</f>
        <v>RETIREE INS - DECEMBER 2021</v>
      </c>
      <c r="G1367" s="4">
        <v>28531.24</v>
      </c>
      <c r="H1367" t="str">
        <f>"RETIREE INS - DECEMBER 2021"</f>
        <v>RETIREE INS - DECEMBER 2021</v>
      </c>
    </row>
    <row r="1368" spans="1:8" x14ac:dyDescent="0.25">
      <c r="A1368" t="s">
        <v>419</v>
      </c>
      <c r="B1368">
        <v>1480</v>
      </c>
      <c r="C1368" s="4">
        <v>1973.58</v>
      </c>
      <c r="D1368" s="1">
        <v>44540</v>
      </c>
      <c r="E1368" t="str">
        <f>"DHM202112077703"</f>
        <v>DHM202112077703</v>
      </c>
      <c r="F1368" t="str">
        <f>"AP - DENTAL HMO"</f>
        <v>AP - DENTAL HMO</v>
      </c>
      <c r="G1368" s="4">
        <v>14.4</v>
      </c>
      <c r="H1368" t="str">
        <f>"AP - DENTAL HMO"</f>
        <v>AP - DENTAL HMO</v>
      </c>
    </row>
    <row r="1369" spans="1:8" x14ac:dyDescent="0.25">
      <c r="E1369" t="str">
        <f>"DTX202112077703"</f>
        <v>DTX202112077703</v>
      </c>
      <c r="F1369" t="str">
        <f>"AP - TEXAS DENTAL"</f>
        <v>AP - TEXAS DENTAL</v>
      </c>
      <c r="G1369" s="4">
        <v>474.59</v>
      </c>
      <c r="H1369" t="str">
        <f>"AP - TEXAS DENTAL"</f>
        <v>AP - TEXAS DENTAL</v>
      </c>
    </row>
    <row r="1370" spans="1:8" x14ac:dyDescent="0.25">
      <c r="E1370" t="str">
        <f>"FD 202112077703"</f>
        <v>FD 202112077703</v>
      </c>
      <c r="F1370" t="str">
        <f>"AP - FT DEARBORN PRE-TAX"</f>
        <v>AP - FT DEARBORN PRE-TAX</v>
      </c>
      <c r="G1370" s="4">
        <v>68.72</v>
      </c>
      <c r="H1370" t="str">
        <f>"AP - FT DEARBORN PRE-TAX"</f>
        <v>AP - FT DEARBORN PRE-TAX</v>
      </c>
    </row>
    <row r="1371" spans="1:8" x14ac:dyDescent="0.25">
      <c r="E1371" t="str">
        <f>"FDT202112077703"</f>
        <v>FDT202112077703</v>
      </c>
      <c r="F1371" t="str">
        <f>"AP - FT DEARBORN AFTER TAX"</f>
        <v>AP - FT DEARBORN AFTER TAX</v>
      </c>
      <c r="G1371" s="4">
        <v>83.12</v>
      </c>
      <c r="H1371" t="str">
        <f>"AP - FT DEARBORN AFTER TAX"</f>
        <v>AP - FT DEARBORN AFTER TAX</v>
      </c>
    </row>
    <row r="1372" spans="1:8" x14ac:dyDescent="0.25">
      <c r="E1372" t="str">
        <f>"FLX202112077703"</f>
        <v>FLX202112077703</v>
      </c>
      <c r="F1372" t="str">
        <f>"AP - TEX FLEX"</f>
        <v>AP - TEX FLEX</v>
      </c>
      <c r="G1372" s="4">
        <v>50</v>
      </c>
      <c r="H1372" t="str">
        <f>"AP - TEX FLEX"</f>
        <v>AP - TEX FLEX</v>
      </c>
    </row>
    <row r="1373" spans="1:8" x14ac:dyDescent="0.25">
      <c r="E1373" t="str">
        <f>"HSA202112077703"</f>
        <v>HSA202112077703</v>
      </c>
      <c r="F1373" t="str">
        <f>"AP- HSA"</f>
        <v>AP- HSA</v>
      </c>
      <c r="G1373" s="4">
        <v>20</v>
      </c>
      <c r="H1373" t="str">
        <f>"AP- HSA"</f>
        <v>AP- HSA</v>
      </c>
    </row>
    <row r="1374" spans="1:8" x14ac:dyDescent="0.25">
      <c r="E1374" t="str">
        <f>"MHS202112077703"</f>
        <v>MHS202112077703</v>
      </c>
      <c r="F1374" t="str">
        <f>"AP - HEALTH SELECT MEDICAL"</f>
        <v>AP - HEALTH SELECT MEDICAL</v>
      </c>
      <c r="G1374" s="4">
        <v>1090.68</v>
      </c>
      <c r="H1374" t="str">
        <f>"AP - HEALTH SELECT MEDICAL"</f>
        <v>AP - HEALTH SELECT MEDICAL</v>
      </c>
    </row>
    <row r="1375" spans="1:8" x14ac:dyDescent="0.25">
      <c r="E1375" t="str">
        <f>"MSW202112077703"</f>
        <v>MSW202112077703</v>
      </c>
      <c r="F1375" t="str">
        <f>"AP - SCOTT &amp; WHITE MEDICAL"</f>
        <v>AP - SCOTT &amp; WHITE MEDICAL</v>
      </c>
      <c r="G1375" s="4">
        <v>119.69</v>
      </c>
      <c r="H1375" t="str">
        <f>"AP - SCOTT &amp; WHITE MEDICAL"</f>
        <v>AP - SCOTT &amp; WHITE MEDICAL</v>
      </c>
    </row>
    <row r="1376" spans="1:8" x14ac:dyDescent="0.25">
      <c r="E1376" t="str">
        <f>"SPE202112077703"</f>
        <v>SPE202112077703</v>
      </c>
      <c r="F1376" t="str">
        <f>"AP - STATE VISION"</f>
        <v>AP - STATE VISION</v>
      </c>
      <c r="G1376" s="4">
        <v>52.38</v>
      </c>
      <c r="H1376" t="str">
        <f>"AP - STATE VISION"</f>
        <v>AP - STATE VISION</v>
      </c>
    </row>
    <row r="1377" spans="1:8" x14ac:dyDescent="0.25">
      <c r="A1377" t="s">
        <v>419</v>
      </c>
      <c r="B1377">
        <v>1523</v>
      </c>
      <c r="C1377" s="4">
        <v>1973.58</v>
      </c>
      <c r="D1377" s="1">
        <v>44552</v>
      </c>
      <c r="E1377" t="str">
        <f>"DHM202112177865"</f>
        <v>DHM202112177865</v>
      </c>
      <c r="F1377" t="str">
        <f>"AP - DENTAL HMO"</f>
        <v>AP - DENTAL HMO</v>
      </c>
      <c r="G1377" s="4">
        <v>14.4</v>
      </c>
      <c r="H1377" t="str">
        <f>"AP - DENTAL HMO"</f>
        <v>AP - DENTAL HMO</v>
      </c>
    </row>
    <row r="1378" spans="1:8" x14ac:dyDescent="0.25">
      <c r="E1378" t="str">
        <f>"DTX202112177865"</f>
        <v>DTX202112177865</v>
      </c>
      <c r="F1378" t="str">
        <f>"AP - TEXAS DENTAL"</f>
        <v>AP - TEXAS DENTAL</v>
      </c>
      <c r="G1378" s="4">
        <v>474.59</v>
      </c>
      <c r="H1378" t="str">
        <f>"AP - TEXAS DENTAL"</f>
        <v>AP - TEXAS DENTAL</v>
      </c>
    </row>
    <row r="1379" spans="1:8" x14ac:dyDescent="0.25">
      <c r="E1379" t="str">
        <f>"FD 202112177865"</f>
        <v>FD 202112177865</v>
      </c>
      <c r="F1379" t="str">
        <f>"AP - FT DEARBORN PRE-TAX"</f>
        <v>AP - FT DEARBORN PRE-TAX</v>
      </c>
      <c r="G1379" s="4">
        <v>68.72</v>
      </c>
      <c r="H1379" t="str">
        <f>"AP - FT DEARBORN PRE-TAX"</f>
        <v>AP - FT DEARBORN PRE-TAX</v>
      </c>
    </row>
    <row r="1380" spans="1:8" x14ac:dyDescent="0.25">
      <c r="E1380" t="str">
        <f>"FDT202112177865"</f>
        <v>FDT202112177865</v>
      </c>
      <c r="F1380" t="str">
        <f>"AP - FT DEARBORN AFTER TAX"</f>
        <v>AP - FT DEARBORN AFTER TAX</v>
      </c>
      <c r="G1380" s="4">
        <v>83.12</v>
      </c>
      <c r="H1380" t="str">
        <f>"AP - FT DEARBORN AFTER TAX"</f>
        <v>AP - FT DEARBORN AFTER TAX</v>
      </c>
    </row>
    <row r="1381" spans="1:8" x14ac:dyDescent="0.25">
      <c r="E1381" t="str">
        <f>"FLX202112177865"</f>
        <v>FLX202112177865</v>
      </c>
      <c r="F1381" t="str">
        <f>"AP - TEX FLEX"</f>
        <v>AP - TEX FLEX</v>
      </c>
      <c r="G1381" s="4">
        <v>50</v>
      </c>
      <c r="H1381" t="str">
        <f>"AP - TEX FLEX"</f>
        <v>AP - TEX FLEX</v>
      </c>
    </row>
    <row r="1382" spans="1:8" x14ac:dyDescent="0.25">
      <c r="E1382" t="str">
        <f>"HSA202112177865"</f>
        <v>HSA202112177865</v>
      </c>
      <c r="F1382" t="str">
        <f>"AP- HSA"</f>
        <v>AP- HSA</v>
      </c>
      <c r="G1382" s="4">
        <v>20</v>
      </c>
      <c r="H1382" t="str">
        <f>"AP- HSA"</f>
        <v>AP- HSA</v>
      </c>
    </row>
    <row r="1383" spans="1:8" x14ac:dyDescent="0.25">
      <c r="E1383" t="str">
        <f>"MHS202112177865"</f>
        <v>MHS202112177865</v>
      </c>
      <c r="F1383" t="str">
        <f>"AP - HEALTH SELECT MEDICAL"</f>
        <v>AP - HEALTH SELECT MEDICAL</v>
      </c>
      <c r="G1383" s="4">
        <v>1090.68</v>
      </c>
      <c r="H1383" t="str">
        <f>"AP - HEALTH SELECT MEDICAL"</f>
        <v>AP - HEALTH SELECT MEDICAL</v>
      </c>
    </row>
    <row r="1384" spans="1:8" x14ac:dyDescent="0.25">
      <c r="E1384" t="str">
        <f>"MSW202112177865"</f>
        <v>MSW202112177865</v>
      </c>
      <c r="F1384" t="str">
        <f>"AP - SCOTT &amp; WHITE MEDICAL"</f>
        <v>AP - SCOTT &amp; WHITE MEDICAL</v>
      </c>
      <c r="G1384" s="4">
        <v>119.69</v>
      </c>
      <c r="H1384" t="str">
        <f>"AP - SCOTT &amp; WHITE MEDICAL"</f>
        <v>AP - SCOTT &amp; WHITE MEDICAL</v>
      </c>
    </row>
    <row r="1385" spans="1:8" x14ac:dyDescent="0.25">
      <c r="E1385" t="str">
        <f>"SPE202112177865"</f>
        <v>SPE202112177865</v>
      </c>
      <c r="F1385" t="str">
        <f>"AP - STATE VISION"</f>
        <v>AP - STATE VISION</v>
      </c>
      <c r="G1385" s="4">
        <v>52.38</v>
      </c>
      <c r="H1385" t="str">
        <f>"AP - STATE VISION"</f>
        <v>AP - STATE VISION</v>
      </c>
    </row>
    <row r="1386" spans="1:8" x14ac:dyDescent="0.25">
      <c r="A1386" t="s">
        <v>420</v>
      </c>
      <c r="B1386">
        <v>1529</v>
      </c>
      <c r="C1386" s="4">
        <v>4578.5200000000004</v>
      </c>
      <c r="D1386" s="1">
        <v>44557</v>
      </c>
      <c r="E1386" t="str">
        <f>"202112277960"</f>
        <v>202112277960</v>
      </c>
      <c r="F1386" t="str">
        <f>"ADJ - DECEMBER 2021"</f>
        <v>ADJ - DECEMBER 2021</v>
      </c>
      <c r="G1386" s="4">
        <v>-11.48</v>
      </c>
      <c r="H1386" t="str">
        <f>"ADJ - DECEMBER 2021"</f>
        <v>ADJ - DECEMBER 2021</v>
      </c>
    </row>
    <row r="1387" spans="1:8" x14ac:dyDescent="0.25">
      <c r="E1387" t="str">
        <f>"CL 202112077701"</f>
        <v>CL 202112077701</v>
      </c>
      <c r="F1387" t="str">
        <f t="shared" ref="F1387:F1404" si="19">"COLONIAL"</f>
        <v>COLONIAL</v>
      </c>
      <c r="G1387" s="4">
        <v>531.83000000000004</v>
      </c>
      <c r="H1387" t="str">
        <f t="shared" ref="H1387:H1404" si="20">"COLONIAL"</f>
        <v>COLONIAL</v>
      </c>
    </row>
    <row r="1388" spans="1:8" x14ac:dyDescent="0.25">
      <c r="E1388" t="str">
        <f>"CL 202112077702"</f>
        <v>CL 202112077702</v>
      </c>
      <c r="F1388" t="str">
        <f t="shared" si="19"/>
        <v>COLONIAL</v>
      </c>
      <c r="G1388" s="4">
        <v>14.49</v>
      </c>
      <c r="H1388" t="str">
        <f t="shared" si="20"/>
        <v>COLONIAL</v>
      </c>
    </row>
    <row r="1389" spans="1:8" x14ac:dyDescent="0.25">
      <c r="E1389" t="str">
        <f>"CL 202112177863"</f>
        <v>CL 202112177863</v>
      </c>
      <c r="F1389" t="str">
        <f t="shared" si="19"/>
        <v>COLONIAL</v>
      </c>
      <c r="G1389" s="4">
        <v>531.83000000000004</v>
      </c>
      <c r="H1389" t="str">
        <f t="shared" si="20"/>
        <v>COLONIAL</v>
      </c>
    </row>
    <row r="1390" spans="1:8" x14ac:dyDescent="0.25">
      <c r="E1390" t="str">
        <f>"CL 202112177864"</f>
        <v>CL 202112177864</v>
      </c>
      <c r="F1390" t="str">
        <f t="shared" si="19"/>
        <v>COLONIAL</v>
      </c>
      <c r="G1390" s="4">
        <v>14.49</v>
      </c>
      <c r="H1390" t="str">
        <f t="shared" si="20"/>
        <v>COLONIAL</v>
      </c>
    </row>
    <row r="1391" spans="1:8" x14ac:dyDescent="0.25">
      <c r="E1391" t="str">
        <f>"CLC202112077701"</f>
        <v>CLC202112077701</v>
      </c>
      <c r="F1391" t="str">
        <f t="shared" si="19"/>
        <v>COLONIAL</v>
      </c>
      <c r="G1391" s="4">
        <v>33.99</v>
      </c>
      <c r="H1391" t="str">
        <f t="shared" si="20"/>
        <v>COLONIAL</v>
      </c>
    </row>
    <row r="1392" spans="1:8" x14ac:dyDescent="0.25">
      <c r="E1392" t="str">
        <f>"CLC202112177863"</f>
        <v>CLC202112177863</v>
      </c>
      <c r="F1392" t="str">
        <f t="shared" si="19"/>
        <v>COLONIAL</v>
      </c>
      <c r="G1392" s="4">
        <v>33.99</v>
      </c>
      <c r="H1392" t="str">
        <f t="shared" si="20"/>
        <v>COLONIAL</v>
      </c>
    </row>
    <row r="1393" spans="1:8" x14ac:dyDescent="0.25">
      <c r="E1393" t="str">
        <f>"CLI202112077701"</f>
        <v>CLI202112077701</v>
      </c>
      <c r="F1393" t="str">
        <f t="shared" si="19"/>
        <v>COLONIAL</v>
      </c>
      <c r="G1393" s="4">
        <v>631.34</v>
      </c>
      <c r="H1393" t="str">
        <f t="shared" si="20"/>
        <v>COLONIAL</v>
      </c>
    </row>
    <row r="1394" spans="1:8" x14ac:dyDescent="0.25">
      <c r="E1394" t="str">
        <f>"CLI202112177863"</f>
        <v>CLI202112177863</v>
      </c>
      <c r="F1394" t="str">
        <f t="shared" si="19"/>
        <v>COLONIAL</v>
      </c>
      <c r="G1394" s="4">
        <v>574.54</v>
      </c>
      <c r="H1394" t="str">
        <f t="shared" si="20"/>
        <v>COLONIAL</v>
      </c>
    </row>
    <row r="1395" spans="1:8" x14ac:dyDescent="0.25">
      <c r="E1395" t="str">
        <f>"CLK202112077701"</f>
        <v>CLK202112077701</v>
      </c>
      <c r="F1395" t="str">
        <f t="shared" si="19"/>
        <v>COLONIAL</v>
      </c>
      <c r="G1395" s="4">
        <v>6.2</v>
      </c>
      <c r="H1395" t="str">
        <f t="shared" si="20"/>
        <v>COLONIAL</v>
      </c>
    </row>
    <row r="1396" spans="1:8" x14ac:dyDescent="0.25">
      <c r="E1396" t="str">
        <f>"CLK202112177863"</f>
        <v>CLK202112177863</v>
      </c>
      <c r="F1396" t="str">
        <f t="shared" si="19"/>
        <v>COLONIAL</v>
      </c>
      <c r="G1396" s="4">
        <v>6.2</v>
      </c>
      <c r="H1396" t="str">
        <f t="shared" si="20"/>
        <v>COLONIAL</v>
      </c>
    </row>
    <row r="1397" spans="1:8" x14ac:dyDescent="0.25">
      <c r="E1397" t="str">
        <f>"CLS202112077701"</f>
        <v>CLS202112077701</v>
      </c>
      <c r="F1397" t="str">
        <f t="shared" si="19"/>
        <v>COLONIAL</v>
      </c>
      <c r="G1397" s="4">
        <v>303.64999999999998</v>
      </c>
      <c r="H1397" t="str">
        <f t="shared" si="20"/>
        <v>COLONIAL</v>
      </c>
    </row>
    <row r="1398" spans="1:8" x14ac:dyDescent="0.25">
      <c r="E1398" t="str">
        <f>"CLS202112177863"</f>
        <v>CLS202112177863</v>
      </c>
      <c r="F1398" t="str">
        <f t="shared" si="19"/>
        <v>COLONIAL</v>
      </c>
      <c r="G1398" s="4">
        <v>303.64999999999998</v>
      </c>
      <c r="H1398" t="str">
        <f t="shared" si="20"/>
        <v>COLONIAL</v>
      </c>
    </row>
    <row r="1399" spans="1:8" x14ac:dyDescent="0.25">
      <c r="E1399" t="str">
        <f>"CLT202112077701"</f>
        <v>CLT202112077701</v>
      </c>
      <c r="F1399" t="str">
        <f t="shared" si="19"/>
        <v>COLONIAL</v>
      </c>
      <c r="G1399" s="4">
        <v>349.2</v>
      </c>
      <c r="H1399" t="str">
        <f t="shared" si="20"/>
        <v>COLONIAL</v>
      </c>
    </row>
    <row r="1400" spans="1:8" x14ac:dyDescent="0.25">
      <c r="E1400" t="str">
        <f>"CLT202112177863"</f>
        <v>CLT202112177863</v>
      </c>
      <c r="F1400" t="str">
        <f t="shared" si="19"/>
        <v>COLONIAL</v>
      </c>
      <c r="G1400" s="4">
        <v>349.2</v>
      </c>
      <c r="H1400" t="str">
        <f t="shared" si="20"/>
        <v>COLONIAL</v>
      </c>
    </row>
    <row r="1401" spans="1:8" x14ac:dyDescent="0.25">
      <c r="E1401" t="str">
        <f>"CLU202112077701"</f>
        <v>CLU202112077701</v>
      </c>
      <c r="F1401" t="str">
        <f t="shared" si="19"/>
        <v>COLONIAL</v>
      </c>
      <c r="G1401" s="4">
        <v>61.22</v>
      </c>
      <c r="H1401" t="str">
        <f t="shared" si="20"/>
        <v>COLONIAL</v>
      </c>
    </row>
    <row r="1402" spans="1:8" x14ac:dyDescent="0.25">
      <c r="E1402" t="str">
        <f>"CLU202112177863"</f>
        <v>CLU202112177863</v>
      </c>
      <c r="F1402" t="str">
        <f t="shared" si="19"/>
        <v>COLONIAL</v>
      </c>
      <c r="G1402" s="4">
        <v>61.22</v>
      </c>
      <c r="H1402" t="str">
        <f t="shared" si="20"/>
        <v>COLONIAL</v>
      </c>
    </row>
    <row r="1403" spans="1:8" x14ac:dyDescent="0.25">
      <c r="E1403" t="str">
        <f>"CLW202112077701"</f>
        <v>CLW202112077701</v>
      </c>
      <c r="F1403" t="str">
        <f t="shared" si="19"/>
        <v>COLONIAL</v>
      </c>
      <c r="G1403" s="4">
        <v>391.48</v>
      </c>
      <c r="H1403" t="str">
        <f t="shared" si="20"/>
        <v>COLONIAL</v>
      </c>
    </row>
    <row r="1404" spans="1:8" x14ac:dyDescent="0.25">
      <c r="E1404" t="str">
        <f>"CLW202112177863"</f>
        <v>CLW202112177863</v>
      </c>
      <c r="F1404" t="str">
        <f t="shared" si="19"/>
        <v>COLONIAL</v>
      </c>
      <c r="G1404" s="4">
        <v>391.48</v>
      </c>
      <c r="H1404" t="str">
        <f t="shared" si="20"/>
        <v>COLONIAL</v>
      </c>
    </row>
    <row r="1405" spans="1:8" x14ac:dyDescent="0.25">
      <c r="A1405" t="s">
        <v>421</v>
      </c>
      <c r="B1405">
        <v>1531</v>
      </c>
      <c r="C1405" s="4">
        <v>42520.82</v>
      </c>
      <c r="D1405" s="1">
        <v>44557</v>
      </c>
      <c r="E1405" t="str">
        <f>"202112277966"</f>
        <v>202112277966</v>
      </c>
      <c r="F1405" t="str">
        <f>"RETIREE INS - DECEMBER 2021"</f>
        <v>RETIREE INS - DECEMBER 2021</v>
      </c>
      <c r="G1405" s="4">
        <v>3421.3</v>
      </c>
      <c r="H1405" t="str">
        <f>"RETIREE INS - DECEMBER 2021"</f>
        <v>RETIREE INS - DECEMBER 2021</v>
      </c>
    </row>
    <row r="1406" spans="1:8" x14ac:dyDescent="0.25">
      <c r="E1406" t="str">
        <f>"202112277967"</f>
        <v>202112277967</v>
      </c>
      <c r="F1406" t="str">
        <f>"COBRA - DECEMBER 2021"</f>
        <v>COBRA - DECEMBER 2021</v>
      </c>
      <c r="G1406" s="4">
        <v>87.6</v>
      </c>
      <c r="H1406" t="str">
        <f>"COBRA - DECEMBER 2021"</f>
        <v>COBRA - DECEMBER 2021</v>
      </c>
    </row>
    <row r="1407" spans="1:8" x14ac:dyDescent="0.25">
      <c r="E1407" t="str">
        <f>"202112277968"</f>
        <v>202112277968</v>
      </c>
      <c r="F1407" t="str">
        <f>"ADJ - DECEMBER 2021"</f>
        <v>ADJ - DECEMBER 2021</v>
      </c>
      <c r="G1407" s="4">
        <v>61.78</v>
      </c>
      <c r="H1407" t="str">
        <f>"ADJ - DECEMBER 2021"</f>
        <v>ADJ - DECEMBER 2021</v>
      </c>
    </row>
    <row r="1408" spans="1:8" x14ac:dyDescent="0.25">
      <c r="E1408" t="str">
        <f>"ADC202112077701"</f>
        <v>ADC202112077701</v>
      </c>
      <c r="F1408" t="str">
        <f t="shared" ref="F1408:F1420" si="21">"GUARDIAN"</f>
        <v>GUARDIAN</v>
      </c>
      <c r="G1408" s="4">
        <v>4.45</v>
      </c>
      <c r="H1408" t="str">
        <f t="shared" ref="H1408:H1471" si="22">"GUARDIAN"</f>
        <v>GUARDIAN</v>
      </c>
    </row>
    <row r="1409" spans="5:8" x14ac:dyDescent="0.25">
      <c r="E1409" t="str">
        <f>"ADC202112077702"</f>
        <v>ADC202112077702</v>
      </c>
      <c r="F1409" t="str">
        <f t="shared" si="21"/>
        <v>GUARDIAN</v>
      </c>
      <c r="G1409" s="4">
        <v>0.16</v>
      </c>
      <c r="H1409" t="str">
        <f t="shared" si="22"/>
        <v>GUARDIAN</v>
      </c>
    </row>
    <row r="1410" spans="5:8" x14ac:dyDescent="0.25">
      <c r="E1410" t="str">
        <f>"ADC202112177863"</f>
        <v>ADC202112177863</v>
      </c>
      <c r="F1410" t="str">
        <f t="shared" si="21"/>
        <v>GUARDIAN</v>
      </c>
      <c r="G1410" s="4">
        <v>4.45</v>
      </c>
      <c r="H1410" t="str">
        <f t="shared" si="22"/>
        <v>GUARDIAN</v>
      </c>
    </row>
    <row r="1411" spans="5:8" x14ac:dyDescent="0.25">
      <c r="E1411" t="str">
        <f>"ADC202112177864"</f>
        <v>ADC202112177864</v>
      </c>
      <c r="F1411" t="str">
        <f t="shared" si="21"/>
        <v>GUARDIAN</v>
      </c>
      <c r="G1411" s="4">
        <v>0.16</v>
      </c>
      <c r="H1411" t="str">
        <f t="shared" si="22"/>
        <v>GUARDIAN</v>
      </c>
    </row>
    <row r="1412" spans="5:8" x14ac:dyDescent="0.25">
      <c r="E1412" t="str">
        <f>"ADE202112077701"</f>
        <v>ADE202112077701</v>
      </c>
      <c r="F1412" t="str">
        <f t="shared" si="21"/>
        <v>GUARDIAN</v>
      </c>
      <c r="G1412" s="4">
        <v>224.73</v>
      </c>
      <c r="H1412" t="str">
        <f t="shared" si="22"/>
        <v>GUARDIAN</v>
      </c>
    </row>
    <row r="1413" spans="5:8" x14ac:dyDescent="0.25">
      <c r="E1413" t="str">
        <f>"ADE202112077702"</f>
        <v>ADE202112077702</v>
      </c>
      <c r="F1413" t="str">
        <f t="shared" si="21"/>
        <v>GUARDIAN</v>
      </c>
      <c r="G1413" s="4">
        <v>5.55</v>
      </c>
      <c r="H1413" t="str">
        <f t="shared" si="22"/>
        <v>GUARDIAN</v>
      </c>
    </row>
    <row r="1414" spans="5:8" x14ac:dyDescent="0.25">
      <c r="E1414" t="str">
        <f>"ADE202112177863"</f>
        <v>ADE202112177863</v>
      </c>
      <c r="F1414" t="str">
        <f t="shared" si="21"/>
        <v>GUARDIAN</v>
      </c>
      <c r="G1414" s="4">
        <v>224.73</v>
      </c>
      <c r="H1414" t="str">
        <f t="shared" si="22"/>
        <v>GUARDIAN</v>
      </c>
    </row>
    <row r="1415" spans="5:8" x14ac:dyDescent="0.25">
      <c r="E1415" t="str">
        <f>"ADE202112177864"</f>
        <v>ADE202112177864</v>
      </c>
      <c r="F1415" t="str">
        <f t="shared" si="21"/>
        <v>GUARDIAN</v>
      </c>
      <c r="G1415" s="4">
        <v>2.5499999999999998</v>
      </c>
      <c r="H1415" t="str">
        <f t="shared" si="22"/>
        <v>GUARDIAN</v>
      </c>
    </row>
    <row r="1416" spans="5:8" x14ac:dyDescent="0.25">
      <c r="E1416" t="str">
        <f>"ADS202112077701"</f>
        <v>ADS202112077701</v>
      </c>
      <c r="F1416" t="str">
        <f t="shared" si="21"/>
        <v>GUARDIAN</v>
      </c>
      <c r="G1416" s="4">
        <v>37.67</v>
      </c>
      <c r="H1416" t="str">
        <f t="shared" si="22"/>
        <v>GUARDIAN</v>
      </c>
    </row>
    <row r="1417" spans="5:8" x14ac:dyDescent="0.25">
      <c r="E1417" t="str">
        <f>"ADS202112077702"</f>
        <v>ADS202112077702</v>
      </c>
      <c r="F1417" t="str">
        <f t="shared" si="21"/>
        <v>GUARDIAN</v>
      </c>
      <c r="G1417" s="4">
        <v>0.53</v>
      </c>
      <c r="H1417" t="str">
        <f t="shared" si="22"/>
        <v>GUARDIAN</v>
      </c>
    </row>
    <row r="1418" spans="5:8" x14ac:dyDescent="0.25">
      <c r="E1418" t="str">
        <f>"ADS202112177863"</f>
        <v>ADS202112177863</v>
      </c>
      <c r="F1418" t="str">
        <f t="shared" si="21"/>
        <v>GUARDIAN</v>
      </c>
      <c r="G1418" s="4">
        <v>37.67</v>
      </c>
      <c r="H1418" t="str">
        <f t="shared" si="22"/>
        <v>GUARDIAN</v>
      </c>
    </row>
    <row r="1419" spans="5:8" x14ac:dyDescent="0.25">
      <c r="E1419" t="str">
        <f>"ADS202112177864"</f>
        <v>ADS202112177864</v>
      </c>
      <c r="F1419" t="str">
        <f t="shared" si="21"/>
        <v>GUARDIAN</v>
      </c>
      <c r="G1419" s="4">
        <v>0.53</v>
      </c>
      <c r="H1419" t="str">
        <f t="shared" si="22"/>
        <v>GUARDIAN</v>
      </c>
    </row>
    <row r="1420" spans="5:8" x14ac:dyDescent="0.25">
      <c r="E1420" t="str">
        <f>"GDC202112077701"</f>
        <v>GDC202112077701</v>
      </c>
      <c r="F1420" t="str">
        <f t="shared" si="21"/>
        <v>GUARDIAN</v>
      </c>
      <c r="G1420" s="4">
        <v>15.39</v>
      </c>
      <c r="H1420" t="str">
        <f t="shared" si="22"/>
        <v>GUARDIAN</v>
      </c>
    </row>
    <row r="1421" spans="5:8" x14ac:dyDescent="0.25">
      <c r="E1421" t="str">
        <f>""</f>
        <v/>
      </c>
      <c r="F1421" t="str">
        <f>""</f>
        <v/>
      </c>
      <c r="G1421" s="4">
        <v>14.66</v>
      </c>
      <c r="H1421" t="str">
        <f t="shared" si="22"/>
        <v>GUARDIAN</v>
      </c>
    </row>
    <row r="1422" spans="5:8" x14ac:dyDescent="0.25">
      <c r="E1422" t="str">
        <f>""</f>
        <v/>
      </c>
      <c r="F1422" t="str">
        <f>""</f>
        <v/>
      </c>
      <c r="G1422" s="4">
        <v>30.78</v>
      </c>
      <c r="H1422" t="str">
        <f t="shared" si="22"/>
        <v>GUARDIAN</v>
      </c>
    </row>
    <row r="1423" spans="5:8" x14ac:dyDescent="0.25">
      <c r="E1423" t="str">
        <f>""</f>
        <v/>
      </c>
      <c r="F1423" t="str">
        <f>""</f>
        <v/>
      </c>
      <c r="G1423" s="4">
        <v>46.17</v>
      </c>
      <c r="H1423" t="str">
        <f t="shared" si="22"/>
        <v>GUARDIAN</v>
      </c>
    </row>
    <row r="1424" spans="5:8" x14ac:dyDescent="0.25">
      <c r="E1424" t="str">
        <f>""</f>
        <v/>
      </c>
      <c r="F1424" t="str">
        <f>""</f>
        <v/>
      </c>
      <c r="G1424" s="4">
        <v>13.2</v>
      </c>
      <c r="H1424" t="str">
        <f t="shared" si="22"/>
        <v>GUARDIAN</v>
      </c>
    </row>
    <row r="1425" spans="5:8" x14ac:dyDescent="0.25">
      <c r="E1425" t="str">
        <f>""</f>
        <v/>
      </c>
      <c r="F1425" t="str">
        <f>""</f>
        <v/>
      </c>
      <c r="G1425" s="4">
        <v>15.39</v>
      </c>
      <c r="H1425" t="str">
        <f t="shared" si="22"/>
        <v>GUARDIAN</v>
      </c>
    </row>
    <row r="1426" spans="5:8" x14ac:dyDescent="0.25">
      <c r="E1426" t="str">
        <f>""</f>
        <v/>
      </c>
      <c r="F1426" t="str">
        <f>""</f>
        <v/>
      </c>
      <c r="G1426" s="4">
        <v>30.78</v>
      </c>
      <c r="H1426" t="str">
        <f t="shared" si="22"/>
        <v>GUARDIAN</v>
      </c>
    </row>
    <row r="1427" spans="5:8" x14ac:dyDescent="0.25">
      <c r="E1427" t="str">
        <f>""</f>
        <v/>
      </c>
      <c r="F1427" t="str">
        <f>""</f>
        <v/>
      </c>
      <c r="G1427" s="4">
        <v>15.39</v>
      </c>
      <c r="H1427" t="str">
        <f t="shared" si="22"/>
        <v>GUARDIAN</v>
      </c>
    </row>
    <row r="1428" spans="5:8" x14ac:dyDescent="0.25">
      <c r="E1428" t="str">
        <f>""</f>
        <v/>
      </c>
      <c r="F1428" t="str">
        <f>""</f>
        <v/>
      </c>
      <c r="G1428" s="4">
        <v>30.78</v>
      </c>
      <c r="H1428" t="str">
        <f t="shared" si="22"/>
        <v>GUARDIAN</v>
      </c>
    </row>
    <row r="1429" spans="5:8" x14ac:dyDescent="0.25">
      <c r="E1429" t="str">
        <f>""</f>
        <v/>
      </c>
      <c r="F1429" t="str">
        <f>""</f>
        <v/>
      </c>
      <c r="G1429" s="4">
        <v>45.43</v>
      </c>
      <c r="H1429" t="str">
        <f t="shared" si="22"/>
        <v>GUARDIAN</v>
      </c>
    </row>
    <row r="1430" spans="5:8" x14ac:dyDescent="0.25">
      <c r="E1430" t="str">
        <f>""</f>
        <v/>
      </c>
      <c r="F1430" t="str">
        <f>""</f>
        <v/>
      </c>
      <c r="G1430" s="4">
        <v>61.56</v>
      </c>
      <c r="H1430" t="str">
        <f t="shared" si="22"/>
        <v>GUARDIAN</v>
      </c>
    </row>
    <row r="1431" spans="5:8" x14ac:dyDescent="0.25">
      <c r="E1431" t="str">
        <f>""</f>
        <v/>
      </c>
      <c r="F1431" t="str">
        <f>""</f>
        <v/>
      </c>
      <c r="G1431" s="4">
        <v>15.39</v>
      </c>
      <c r="H1431" t="str">
        <f t="shared" si="22"/>
        <v>GUARDIAN</v>
      </c>
    </row>
    <row r="1432" spans="5:8" x14ac:dyDescent="0.25">
      <c r="E1432" t="str">
        <f>""</f>
        <v/>
      </c>
      <c r="F1432" t="str">
        <f>""</f>
        <v/>
      </c>
      <c r="G1432" s="4">
        <v>61.56</v>
      </c>
      <c r="H1432" t="str">
        <f t="shared" si="22"/>
        <v>GUARDIAN</v>
      </c>
    </row>
    <row r="1433" spans="5:8" x14ac:dyDescent="0.25">
      <c r="E1433" t="str">
        <f>""</f>
        <v/>
      </c>
      <c r="F1433" t="str">
        <f>""</f>
        <v/>
      </c>
      <c r="G1433" s="4">
        <v>15.39</v>
      </c>
      <c r="H1433" t="str">
        <f t="shared" si="22"/>
        <v>GUARDIAN</v>
      </c>
    </row>
    <row r="1434" spans="5:8" x14ac:dyDescent="0.25">
      <c r="E1434" t="str">
        <f>""</f>
        <v/>
      </c>
      <c r="F1434" t="str">
        <f>""</f>
        <v/>
      </c>
      <c r="G1434" s="4">
        <v>30.78</v>
      </c>
      <c r="H1434" t="str">
        <f t="shared" si="22"/>
        <v>GUARDIAN</v>
      </c>
    </row>
    <row r="1435" spans="5:8" x14ac:dyDescent="0.25">
      <c r="E1435" t="str">
        <f>""</f>
        <v/>
      </c>
      <c r="F1435" t="str">
        <f>""</f>
        <v/>
      </c>
      <c r="G1435" s="4">
        <v>15.39</v>
      </c>
      <c r="H1435" t="str">
        <f t="shared" si="22"/>
        <v>GUARDIAN</v>
      </c>
    </row>
    <row r="1436" spans="5:8" x14ac:dyDescent="0.25">
      <c r="E1436" t="str">
        <f>""</f>
        <v/>
      </c>
      <c r="F1436" t="str">
        <f>""</f>
        <v/>
      </c>
      <c r="G1436" s="4">
        <v>61.56</v>
      </c>
      <c r="H1436" t="str">
        <f t="shared" si="22"/>
        <v>GUARDIAN</v>
      </c>
    </row>
    <row r="1437" spans="5:8" x14ac:dyDescent="0.25">
      <c r="E1437" t="str">
        <f>""</f>
        <v/>
      </c>
      <c r="F1437" t="str">
        <f>""</f>
        <v/>
      </c>
      <c r="G1437" s="4">
        <v>15.39</v>
      </c>
      <c r="H1437" t="str">
        <f t="shared" si="22"/>
        <v>GUARDIAN</v>
      </c>
    </row>
    <row r="1438" spans="5:8" x14ac:dyDescent="0.25">
      <c r="E1438" t="str">
        <f>""</f>
        <v/>
      </c>
      <c r="F1438" t="str">
        <f>""</f>
        <v/>
      </c>
      <c r="G1438" s="4">
        <v>249.11</v>
      </c>
      <c r="H1438" t="str">
        <f t="shared" si="22"/>
        <v>GUARDIAN</v>
      </c>
    </row>
    <row r="1439" spans="5:8" x14ac:dyDescent="0.25">
      <c r="E1439" t="str">
        <f>""</f>
        <v/>
      </c>
      <c r="F1439" t="str">
        <f>""</f>
        <v/>
      </c>
      <c r="G1439" s="4">
        <v>14.93</v>
      </c>
      <c r="H1439" t="str">
        <f t="shared" si="22"/>
        <v>GUARDIAN</v>
      </c>
    </row>
    <row r="1440" spans="5:8" x14ac:dyDescent="0.25">
      <c r="E1440" t="str">
        <f>""</f>
        <v/>
      </c>
      <c r="F1440" t="str">
        <f>""</f>
        <v/>
      </c>
      <c r="G1440" s="4">
        <v>213.05</v>
      </c>
      <c r="H1440" t="str">
        <f t="shared" si="22"/>
        <v>GUARDIAN</v>
      </c>
    </row>
    <row r="1441" spans="5:8" x14ac:dyDescent="0.25">
      <c r="E1441" t="str">
        <f>""</f>
        <v/>
      </c>
      <c r="F1441" t="str">
        <f>""</f>
        <v/>
      </c>
      <c r="G1441" s="4">
        <v>15.39</v>
      </c>
      <c r="H1441" t="str">
        <f t="shared" si="22"/>
        <v>GUARDIAN</v>
      </c>
    </row>
    <row r="1442" spans="5:8" x14ac:dyDescent="0.25">
      <c r="E1442" t="str">
        <f>""</f>
        <v/>
      </c>
      <c r="F1442" t="str">
        <f>""</f>
        <v/>
      </c>
      <c r="G1442" s="4">
        <v>15.39</v>
      </c>
      <c r="H1442" t="str">
        <f t="shared" si="22"/>
        <v>GUARDIAN</v>
      </c>
    </row>
    <row r="1443" spans="5:8" x14ac:dyDescent="0.25">
      <c r="E1443" t="str">
        <f>""</f>
        <v/>
      </c>
      <c r="F1443" t="str">
        <f>""</f>
        <v/>
      </c>
      <c r="G1443" s="4">
        <v>15.39</v>
      </c>
      <c r="H1443" t="str">
        <f t="shared" si="22"/>
        <v>GUARDIAN</v>
      </c>
    </row>
    <row r="1444" spans="5:8" x14ac:dyDescent="0.25">
      <c r="E1444" t="str">
        <f>""</f>
        <v/>
      </c>
      <c r="F1444" t="str">
        <f>""</f>
        <v/>
      </c>
      <c r="G1444" s="4">
        <v>15.39</v>
      </c>
      <c r="H1444" t="str">
        <f t="shared" si="22"/>
        <v>GUARDIAN</v>
      </c>
    </row>
    <row r="1445" spans="5:8" x14ac:dyDescent="0.25">
      <c r="E1445" t="str">
        <f>""</f>
        <v/>
      </c>
      <c r="F1445" t="str">
        <f>""</f>
        <v/>
      </c>
      <c r="G1445" s="4">
        <v>0.73</v>
      </c>
      <c r="H1445" t="str">
        <f t="shared" si="22"/>
        <v>GUARDIAN</v>
      </c>
    </row>
    <row r="1446" spans="5:8" x14ac:dyDescent="0.25">
      <c r="E1446" t="str">
        <f>""</f>
        <v/>
      </c>
      <c r="F1446" t="str">
        <f>""</f>
        <v/>
      </c>
      <c r="G1446" s="4">
        <v>15.39</v>
      </c>
      <c r="H1446" t="str">
        <f t="shared" si="22"/>
        <v>GUARDIAN</v>
      </c>
    </row>
    <row r="1447" spans="5:8" x14ac:dyDescent="0.25">
      <c r="E1447" t="str">
        <f>""</f>
        <v/>
      </c>
      <c r="F1447" t="str">
        <f>""</f>
        <v/>
      </c>
      <c r="G1447" s="4">
        <v>46.17</v>
      </c>
      <c r="H1447" t="str">
        <f t="shared" si="22"/>
        <v>GUARDIAN</v>
      </c>
    </row>
    <row r="1448" spans="5:8" x14ac:dyDescent="0.25">
      <c r="E1448" t="str">
        <f>""</f>
        <v/>
      </c>
      <c r="F1448" t="str">
        <f>""</f>
        <v/>
      </c>
      <c r="G1448" s="4">
        <v>15.39</v>
      </c>
      <c r="H1448" t="str">
        <f t="shared" si="22"/>
        <v>GUARDIAN</v>
      </c>
    </row>
    <row r="1449" spans="5:8" x14ac:dyDescent="0.25">
      <c r="E1449" t="str">
        <f>""</f>
        <v/>
      </c>
      <c r="F1449" t="str">
        <f>""</f>
        <v/>
      </c>
      <c r="G1449" s="4">
        <v>0.2</v>
      </c>
      <c r="H1449" t="str">
        <f t="shared" si="22"/>
        <v>GUARDIAN</v>
      </c>
    </row>
    <row r="1450" spans="5:8" x14ac:dyDescent="0.25">
      <c r="E1450" t="str">
        <f>""</f>
        <v/>
      </c>
      <c r="F1450" t="str">
        <f>""</f>
        <v/>
      </c>
      <c r="G1450" s="4">
        <v>0.54</v>
      </c>
      <c r="H1450" t="str">
        <f t="shared" si="22"/>
        <v>GUARDIAN</v>
      </c>
    </row>
    <row r="1451" spans="5:8" x14ac:dyDescent="0.25">
      <c r="E1451" t="str">
        <f>""</f>
        <v/>
      </c>
      <c r="F1451" t="str">
        <f>""</f>
        <v/>
      </c>
      <c r="G1451" s="4">
        <v>2.19</v>
      </c>
      <c r="H1451" t="str">
        <f t="shared" si="22"/>
        <v>GUARDIAN</v>
      </c>
    </row>
    <row r="1452" spans="5:8" x14ac:dyDescent="0.25">
      <c r="E1452" t="str">
        <f>""</f>
        <v/>
      </c>
      <c r="F1452" t="str">
        <f>""</f>
        <v/>
      </c>
      <c r="G1452" s="4">
        <v>1392.75</v>
      </c>
      <c r="H1452" t="str">
        <f t="shared" si="22"/>
        <v>GUARDIAN</v>
      </c>
    </row>
    <row r="1453" spans="5:8" x14ac:dyDescent="0.25">
      <c r="E1453" t="str">
        <f>"GDC202112077702"</f>
        <v>GDC202112077702</v>
      </c>
      <c r="F1453" t="str">
        <f>"GUARDIAN"</f>
        <v>GUARDIAN</v>
      </c>
      <c r="G1453" s="4">
        <v>46.17</v>
      </c>
      <c r="H1453" t="str">
        <f t="shared" si="22"/>
        <v>GUARDIAN</v>
      </c>
    </row>
    <row r="1454" spans="5:8" x14ac:dyDescent="0.25">
      <c r="E1454" t="str">
        <f>""</f>
        <v/>
      </c>
      <c r="F1454" t="str">
        <f>""</f>
        <v/>
      </c>
      <c r="G1454" s="4">
        <v>55.71</v>
      </c>
      <c r="H1454" t="str">
        <f t="shared" si="22"/>
        <v>GUARDIAN</v>
      </c>
    </row>
    <row r="1455" spans="5:8" x14ac:dyDescent="0.25">
      <c r="E1455" t="str">
        <f>"GDC202112177863"</f>
        <v>GDC202112177863</v>
      </c>
      <c r="F1455" t="str">
        <f>"GUARDIAN"</f>
        <v>GUARDIAN</v>
      </c>
      <c r="G1455" s="4">
        <v>15.39</v>
      </c>
      <c r="H1455" t="str">
        <f t="shared" si="22"/>
        <v>GUARDIAN</v>
      </c>
    </row>
    <row r="1456" spans="5:8" x14ac:dyDescent="0.25">
      <c r="E1456" t="str">
        <f>""</f>
        <v/>
      </c>
      <c r="F1456" t="str">
        <f>""</f>
        <v/>
      </c>
      <c r="G1456" s="4">
        <v>14.66</v>
      </c>
      <c r="H1456" t="str">
        <f t="shared" si="22"/>
        <v>GUARDIAN</v>
      </c>
    </row>
    <row r="1457" spans="5:8" x14ac:dyDescent="0.25">
      <c r="E1457" t="str">
        <f>""</f>
        <v/>
      </c>
      <c r="F1457" t="str">
        <f>""</f>
        <v/>
      </c>
      <c r="G1457" s="4">
        <v>30.78</v>
      </c>
      <c r="H1457" t="str">
        <f t="shared" si="22"/>
        <v>GUARDIAN</v>
      </c>
    </row>
    <row r="1458" spans="5:8" x14ac:dyDescent="0.25">
      <c r="E1458" t="str">
        <f>""</f>
        <v/>
      </c>
      <c r="F1458" t="str">
        <f>""</f>
        <v/>
      </c>
      <c r="G1458" s="4">
        <v>46.17</v>
      </c>
      <c r="H1458" t="str">
        <f t="shared" si="22"/>
        <v>GUARDIAN</v>
      </c>
    </row>
    <row r="1459" spans="5:8" x14ac:dyDescent="0.25">
      <c r="E1459" t="str">
        <f>""</f>
        <v/>
      </c>
      <c r="F1459" t="str">
        <f>""</f>
        <v/>
      </c>
      <c r="G1459" s="4">
        <v>13.2</v>
      </c>
      <c r="H1459" t="str">
        <f t="shared" si="22"/>
        <v>GUARDIAN</v>
      </c>
    </row>
    <row r="1460" spans="5:8" x14ac:dyDescent="0.25">
      <c r="E1460" t="str">
        <f>""</f>
        <v/>
      </c>
      <c r="F1460" t="str">
        <f>""</f>
        <v/>
      </c>
      <c r="G1460" s="4">
        <v>15.39</v>
      </c>
      <c r="H1460" t="str">
        <f t="shared" si="22"/>
        <v>GUARDIAN</v>
      </c>
    </row>
    <row r="1461" spans="5:8" x14ac:dyDescent="0.25">
      <c r="E1461" t="str">
        <f>""</f>
        <v/>
      </c>
      <c r="F1461" t="str">
        <f>""</f>
        <v/>
      </c>
      <c r="G1461" s="4">
        <v>30.78</v>
      </c>
      <c r="H1461" t="str">
        <f t="shared" si="22"/>
        <v>GUARDIAN</v>
      </c>
    </row>
    <row r="1462" spans="5:8" x14ac:dyDescent="0.25">
      <c r="E1462" t="str">
        <f>""</f>
        <v/>
      </c>
      <c r="F1462" t="str">
        <f>""</f>
        <v/>
      </c>
      <c r="G1462" s="4">
        <v>15.39</v>
      </c>
      <c r="H1462" t="str">
        <f t="shared" si="22"/>
        <v>GUARDIAN</v>
      </c>
    </row>
    <row r="1463" spans="5:8" x14ac:dyDescent="0.25">
      <c r="E1463" t="str">
        <f>""</f>
        <v/>
      </c>
      <c r="F1463" t="str">
        <f>""</f>
        <v/>
      </c>
      <c r="G1463" s="4">
        <v>30.78</v>
      </c>
      <c r="H1463" t="str">
        <f t="shared" si="22"/>
        <v>GUARDIAN</v>
      </c>
    </row>
    <row r="1464" spans="5:8" x14ac:dyDescent="0.25">
      <c r="E1464" t="str">
        <f>""</f>
        <v/>
      </c>
      <c r="F1464" t="str">
        <f>""</f>
        <v/>
      </c>
      <c r="G1464" s="4">
        <v>45.43</v>
      </c>
      <c r="H1464" t="str">
        <f t="shared" si="22"/>
        <v>GUARDIAN</v>
      </c>
    </row>
    <row r="1465" spans="5:8" x14ac:dyDescent="0.25">
      <c r="E1465" t="str">
        <f>""</f>
        <v/>
      </c>
      <c r="F1465" t="str">
        <f>""</f>
        <v/>
      </c>
      <c r="G1465" s="4">
        <v>61.56</v>
      </c>
      <c r="H1465" t="str">
        <f t="shared" si="22"/>
        <v>GUARDIAN</v>
      </c>
    </row>
    <row r="1466" spans="5:8" x14ac:dyDescent="0.25">
      <c r="E1466" t="str">
        <f>""</f>
        <v/>
      </c>
      <c r="F1466" t="str">
        <f>""</f>
        <v/>
      </c>
      <c r="G1466" s="4">
        <v>15.39</v>
      </c>
      <c r="H1466" t="str">
        <f t="shared" si="22"/>
        <v>GUARDIAN</v>
      </c>
    </row>
    <row r="1467" spans="5:8" x14ac:dyDescent="0.25">
      <c r="E1467" t="str">
        <f>""</f>
        <v/>
      </c>
      <c r="F1467" t="str">
        <f>""</f>
        <v/>
      </c>
      <c r="G1467" s="4">
        <v>61.56</v>
      </c>
      <c r="H1467" t="str">
        <f t="shared" si="22"/>
        <v>GUARDIAN</v>
      </c>
    </row>
    <row r="1468" spans="5:8" x14ac:dyDescent="0.25">
      <c r="E1468" t="str">
        <f>""</f>
        <v/>
      </c>
      <c r="F1468" t="str">
        <f>""</f>
        <v/>
      </c>
      <c r="G1468" s="4">
        <v>15.39</v>
      </c>
      <c r="H1468" t="str">
        <f t="shared" si="22"/>
        <v>GUARDIAN</v>
      </c>
    </row>
    <row r="1469" spans="5:8" x14ac:dyDescent="0.25">
      <c r="E1469" t="str">
        <f>""</f>
        <v/>
      </c>
      <c r="F1469" t="str">
        <f>""</f>
        <v/>
      </c>
      <c r="G1469" s="4">
        <v>30.78</v>
      </c>
      <c r="H1469" t="str">
        <f t="shared" si="22"/>
        <v>GUARDIAN</v>
      </c>
    </row>
    <row r="1470" spans="5:8" x14ac:dyDescent="0.25">
      <c r="E1470" t="str">
        <f>""</f>
        <v/>
      </c>
      <c r="F1470" t="str">
        <f>""</f>
        <v/>
      </c>
      <c r="G1470" s="4">
        <v>15.39</v>
      </c>
      <c r="H1470" t="str">
        <f t="shared" si="22"/>
        <v>GUARDIAN</v>
      </c>
    </row>
    <row r="1471" spans="5:8" x14ac:dyDescent="0.25">
      <c r="E1471" t="str">
        <f>""</f>
        <v/>
      </c>
      <c r="F1471" t="str">
        <f>""</f>
        <v/>
      </c>
      <c r="G1471" s="4">
        <v>61.56</v>
      </c>
      <c r="H1471" t="str">
        <f t="shared" si="22"/>
        <v>GUARDIAN</v>
      </c>
    </row>
    <row r="1472" spans="5:8" x14ac:dyDescent="0.25">
      <c r="E1472" t="str">
        <f>""</f>
        <v/>
      </c>
      <c r="F1472" t="str">
        <f>""</f>
        <v/>
      </c>
      <c r="G1472" s="4">
        <v>15.39</v>
      </c>
      <c r="H1472" t="str">
        <f t="shared" ref="H1472:H1535" si="23">"GUARDIAN"</f>
        <v>GUARDIAN</v>
      </c>
    </row>
    <row r="1473" spans="5:8" x14ac:dyDescent="0.25">
      <c r="E1473" t="str">
        <f>""</f>
        <v/>
      </c>
      <c r="F1473" t="str">
        <f>""</f>
        <v/>
      </c>
      <c r="G1473" s="4">
        <v>248.9</v>
      </c>
      <c r="H1473" t="str">
        <f t="shared" si="23"/>
        <v>GUARDIAN</v>
      </c>
    </row>
    <row r="1474" spans="5:8" x14ac:dyDescent="0.25">
      <c r="E1474" t="str">
        <f>""</f>
        <v/>
      </c>
      <c r="F1474" t="str">
        <f>""</f>
        <v/>
      </c>
      <c r="G1474" s="4">
        <v>14.93</v>
      </c>
      <c r="H1474" t="str">
        <f t="shared" si="23"/>
        <v>GUARDIAN</v>
      </c>
    </row>
    <row r="1475" spans="5:8" x14ac:dyDescent="0.25">
      <c r="E1475" t="str">
        <f>""</f>
        <v/>
      </c>
      <c r="F1475" t="str">
        <f>""</f>
        <v/>
      </c>
      <c r="G1475" s="4">
        <v>213.26</v>
      </c>
      <c r="H1475" t="str">
        <f t="shared" si="23"/>
        <v>GUARDIAN</v>
      </c>
    </row>
    <row r="1476" spans="5:8" x14ac:dyDescent="0.25">
      <c r="E1476" t="str">
        <f>""</f>
        <v/>
      </c>
      <c r="F1476" t="str">
        <f>""</f>
        <v/>
      </c>
      <c r="G1476" s="4">
        <v>15.39</v>
      </c>
      <c r="H1476" t="str">
        <f t="shared" si="23"/>
        <v>GUARDIAN</v>
      </c>
    </row>
    <row r="1477" spans="5:8" x14ac:dyDescent="0.25">
      <c r="E1477" t="str">
        <f>""</f>
        <v/>
      </c>
      <c r="F1477" t="str">
        <f>""</f>
        <v/>
      </c>
      <c r="G1477" s="4">
        <v>15.39</v>
      </c>
      <c r="H1477" t="str">
        <f t="shared" si="23"/>
        <v>GUARDIAN</v>
      </c>
    </row>
    <row r="1478" spans="5:8" x14ac:dyDescent="0.25">
      <c r="E1478" t="str">
        <f>""</f>
        <v/>
      </c>
      <c r="F1478" t="str">
        <f>""</f>
        <v/>
      </c>
      <c r="G1478" s="4">
        <v>15.39</v>
      </c>
      <c r="H1478" t="str">
        <f t="shared" si="23"/>
        <v>GUARDIAN</v>
      </c>
    </row>
    <row r="1479" spans="5:8" x14ac:dyDescent="0.25">
      <c r="E1479" t="str">
        <f>""</f>
        <v/>
      </c>
      <c r="F1479" t="str">
        <f>""</f>
        <v/>
      </c>
      <c r="G1479" s="4">
        <v>15.39</v>
      </c>
      <c r="H1479" t="str">
        <f t="shared" si="23"/>
        <v>GUARDIAN</v>
      </c>
    </row>
    <row r="1480" spans="5:8" x14ac:dyDescent="0.25">
      <c r="E1480" t="str">
        <f>""</f>
        <v/>
      </c>
      <c r="F1480" t="str">
        <f>""</f>
        <v/>
      </c>
      <c r="G1480" s="4">
        <v>0.73</v>
      </c>
      <c r="H1480" t="str">
        <f t="shared" si="23"/>
        <v>GUARDIAN</v>
      </c>
    </row>
    <row r="1481" spans="5:8" x14ac:dyDescent="0.25">
      <c r="E1481" t="str">
        <f>""</f>
        <v/>
      </c>
      <c r="F1481" t="str">
        <f>""</f>
        <v/>
      </c>
      <c r="G1481" s="4">
        <v>15.39</v>
      </c>
      <c r="H1481" t="str">
        <f t="shared" si="23"/>
        <v>GUARDIAN</v>
      </c>
    </row>
    <row r="1482" spans="5:8" x14ac:dyDescent="0.25">
      <c r="E1482" t="str">
        <f>""</f>
        <v/>
      </c>
      <c r="F1482" t="str">
        <f>""</f>
        <v/>
      </c>
      <c r="G1482" s="4">
        <v>46.17</v>
      </c>
      <c r="H1482" t="str">
        <f t="shared" si="23"/>
        <v>GUARDIAN</v>
      </c>
    </row>
    <row r="1483" spans="5:8" x14ac:dyDescent="0.25">
      <c r="E1483" t="str">
        <f>""</f>
        <v/>
      </c>
      <c r="F1483" t="str">
        <f>""</f>
        <v/>
      </c>
      <c r="G1483" s="4">
        <v>15.39</v>
      </c>
      <c r="H1483" t="str">
        <f t="shared" si="23"/>
        <v>GUARDIAN</v>
      </c>
    </row>
    <row r="1484" spans="5:8" x14ac:dyDescent="0.25">
      <c r="E1484" t="str">
        <f>""</f>
        <v/>
      </c>
      <c r="F1484" t="str">
        <f>""</f>
        <v/>
      </c>
      <c r="G1484" s="4">
        <v>0.2</v>
      </c>
      <c r="H1484" t="str">
        <f t="shared" si="23"/>
        <v>GUARDIAN</v>
      </c>
    </row>
    <row r="1485" spans="5:8" x14ac:dyDescent="0.25">
      <c r="E1485" t="str">
        <f>""</f>
        <v/>
      </c>
      <c r="F1485" t="str">
        <f>""</f>
        <v/>
      </c>
      <c r="G1485" s="4">
        <v>0.54</v>
      </c>
      <c r="H1485" t="str">
        <f t="shared" si="23"/>
        <v>GUARDIAN</v>
      </c>
    </row>
    <row r="1486" spans="5:8" x14ac:dyDescent="0.25">
      <c r="E1486" t="str">
        <f>""</f>
        <v/>
      </c>
      <c r="F1486" t="str">
        <f>""</f>
        <v/>
      </c>
      <c r="G1486" s="4">
        <v>2.19</v>
      </c>
      <c r="H1486" t="str">
        <f t="shared" si="23"/>
        <v>GUARDIAN</v>
      </c>
    </row>
    <row r="1487" spans="5:8" x14ac:dyDescent="0.25">
      <c r="E1487" t="str">
        <f>""</f>
        <v/>
      </c>
      <c r="F1487" t="str">
        <f>""</f>
        <v/>
      </c>
      <c r="G1487" s="4">
        <v>1392.75</v>
      </c>
      <c r="H1487" t="str">
        <f t="shared" si="23"/>
        <v>GUARDIAN</v>
      </c>
    </row>
    <row r="1488" spans="5:8" x14ac:dyDescent="0.25">
      <c r="E1488" t="str">
        <f>"GDC202112177864"</f>
        <v>GDC202112177864</v>
      </c>
      <c r="F1488" t="str">
        <f>"GUARDIAN"</f>
        <v>GUARDIAN</v>
      </c>
      <c r="G1488" s="4">
        <v>46.17</v>
      </c>
      <c r="H1488" t="str">
        <f t="shared" si="23"/>
        <v>GUARDIAN</v>
      </c>
    </row>
    <row r="1489" spans="5:8" x14ac:dyDescent="0.25">
      <c r="E1489" t="str">
        <f>""</f>
        <v/>
      </c>
      <c r="F1489" t="str">
        <f>""</f>
        <v/>
      </c>
      <c r="G1489" s="4">
        <v>55.71</v>
      </c>
      <c r="H1489" t="str">
        <f t="shared" si="23"/>
        <v>GUARDIAN</v>
      </c>
    </row>
    <row r="1490" spans="5:8" x14ac:dyDescent="0.25">
      <c r="E1490" t="str">
        <f>"GDE202112077701"</f>
        <v>GDE202112077701</v>
      </c>
      <c r="F1490" t="str">
        <f>"GUARDIAN"</f>
        <v>GUARDIAN</v>
      </c>
      <c r="G1490" s="4">
        <v>15.39</v>
      </c>
      <c r="H1490" t="str">
        <f t="shared" si="23"/>
        <v>GUARDIAN</v>
      </c>
    </row>
    <row r="1491" spans="5:8" x14ac:dyDescent="0.25">
      <c r="E1491" t="str">
        <f>""</f>
        <v/>
      </c>
      <c r="F1491" t="str">
        <f>""</f>
        <v/>
      </c>
      <c r="G1491" s="4">
        <v>20.07</v>
      </c>
      <c r="H1491" t="str">
        <f t="shared" si="23"/>
        <v>GUARDIAN</v>
      </c>
    </row>
    <row r="1492" spans="5:8" x14ac:dyDescent="0.25">
      <c r="E1492" t="str">
        <f>""</f>
        <v/>
      </c>
      <c r="F1492" t="str">
        <f>""</f>
        <v/>
      </c>
      <c r="G1492" s="4">
        <v>91.25</v>
      </c>
      <c r="H1492" t="str">
        <f t="shared" si="23"/>
        <v>GUARDIAN</v>
      </c>
    </row>
    <row r="1493" spans="5:8" x14ac:dyDescent="0.25">
      <c r="E1493" t="str">
        <f>""</f>
        <v/>
      </c>
      <c r="F1493" t="str">
        <f>""</f>
        <v/>
      </c>
      <c r="G1493" s="4">
        <v>30.78</v>
      </c>
      <c r="H1493" t="str">
        <f t="shared" si="23"/>
        <v>GUARDIAN</v>
      </c>
    </row>
    <row r="1494" spans="5:8" x14ac:dyDescent="0.25">
      <c r="E1494" t="str">
        <f>""</f>
        <v/>
      </c>
      <c r="F1494" t="str">
        <f>""</f>
        <v/>
      </c>
      <c r="G1494" s="4">
        <v>15.39</v>
      </c>
      <c r="H1494" t="str">
        <f t="shared" si="23"/>
        <v>GUARDIAN</v>
      </c>
    </row>
    <row r="1495" spans="5:8" x14ac:dyDescent="0.25">
      <c r="E1495" t="str">
        <f>""</f>
        <v/>
      </c>
      <c r="F1495" t="str">
        <f>""</f>
        <v/>
      </c>
      <c r="G1495" s="4">
        <v>30.78</v>
      </c>
      <c r="H1495" t="str">
        <f t="shared" si="23"/>
        <v>GUARDIAN</v>
      </c>
    </row>
    <row r="1496" spans="5:8" x14ac:dyDescent="0.25">
      <c r="E1496" t="str">
        <f>""</f>
        <v/>
      </c>
      <c r="F1496" t="str">
        <f>""</f>
        <v/>
      </c>
      <c r="G1496" s="4">
        <v>215.46</v>
      </c>
      <c r="H1496" t="str">
        <f t="shared" si="23"/>
        <v>GUARDIAN</v>
      </c>
    </row>
    <row r="1497" spans="5:8" x14ac:dyDescent="0.25">
      <c r="E1497" t="str">
        <f>""</f>
        <v/>
      </c>
      <c r="F1497" t="str">
        <f>""</f>
        <v/>
      </c>
      <c r="G1497" s="4">
        <v>15.39</v>
      </c>
      <c r="H1497" t="str">
        <f t="shared" si="23"/>
        <v>GUARDIAN</v>
      </c>
    </row>
    <row r="1498" spans="5:8" x14ac:dyDescent="0.25">
      <c r="E1498" t="str">
        <f>""</f>
        <v/>
      </c>
      <c r="F1498" t="str">
        <f>""</f>
        <v/>
      </c>
      <c r="G1498" s="4">
        <v>61.56</v>
      </c>
      <c r="H1498" t="str">
        <f t="shared" si="23"/>
        <v>GUARDIAN</v>
      </c>
    </row>
    <row r="1499" spans="5:8" x14ac:dyDescent="0.25">
      <c r="E1499" t="str">
        <f>""</f>
        <v/>
      </c>
      <c r="F1499" t="str">
        <f>""</f>
        <v/>
      </c>
      <c r="G1499" s="4">
        <v>107.73</v>
      </c>
      <c r="H1499" t="str">
        <f t="shared" si="23"/>
        <v>GUARDIAN</v>
      </c>
    </row>
    <row r="1500" spans="5:8" x14ac:dyDescent="0.25">
      <c r="E1500" t="str">
        <f>""</f>
        <v/>
      </c>
      <c r="F1500" t="str">
        <f>""</f>
        <v/>
      </c>
      <c r="G1500" s="4">
        <v>30.78</v>
      </c>
      <c r="H1500" t="str">
        <f t="shared" si="23"/>
        <v>GUARDIAN</v>
      </c>
    </row>
    <row r="1501" spans="5:8" x14ac:dyDescent="0.25">
      <c r="E1501" t="str">
        <f>""</f>
        <v/>
      </c>
      <c r="F1501" t="str">
        <f>""</f>
        <v/>
      </c>
      <c r="G1501" s="4">
        <v>61.56</v>
      </c>
      <c r="H1501" t="str">
        <f t="shared" si="23"/>
        <v>GUARDIAN</v>
      </c>
    </row>
    <row r="1502" spans="5:8" x14ac:dyDescent="0.25">
      <c r="E1502" t="str">
        <f>""</f>
        <v/>
      </c>
      <c r="F1502" t="str">
        <f>""</f>
        <v/>
      </c>
      <c r="G1502" s="4">
        <v>30.78</v>
      </c>
      <c r="H1502" t="str">
        <f t="shared" si="23"/>
        <v>GUARDIAN</v>
      </c>
    </row>
    <row r="1503" spans="5:8" x14ac:dyDescent="0.25">
      <c r="E1503" t="str">
        <f>""</f>
        <v/>
      </c>
      <c r="F1503" t="str">
        <f>""</f>
        <v/>
      </c>
      <c r="G1503" s="4">
        <v>30.78</v>
      </c>
      <c r="H1503" t="str">
        <f t="shared" si="23"/>
        <v>GUARDIAN</v>
      </c>
    </row>
    <row r="1504" spans="5:8" x14ac:dyDescent="0.25">
      <c r="E1504" t="str">
        <f>""</f>
        <v/>
      </c>
      <c r="F1504" t="str">
        <f>""</f>
        <v/>
      </c>
      <c r="G1504" s="4">
        <v>30.78</v>
      </c>
      <c r="H1504" t="str">
        <f t="shared" si="23"/>
        <v>GUARDIAN</v>
      </c>
    </row>
    <row r="1505" spans="5:8" x14ac:dyDescent="0.25">
      <c r="E1505" t="str">
        <f>""</f>
        <v/>
      </c>
      <c r="F1505" t="str">
        <f>""</f>
        <v/>
      </c>
      <c r="G1505" s="4">
        <v>168.33</v>
      </c>
      <c r="H1505" t="str">
        <f t="shared" si="23"/>
        <v>GUARDIAN</v>
      </c>
    </row>
    <row r="1506" spans="5:8" x14ac:dyDescent="0.25">
      <c r="E1506" t="str">
        <f>""</f>
        <v/>
      </c>
      <c r="F1506" t="str">
        <f>""</f>
        <v/>
      </c>
      <c r="G1506" s="4">
        <v>30.78</v>
      </c>
      <c r="H1506" t="str">
        <f t="shared" si="23"/>
        <v>GUARDIAN</v>
      </c>
    </row>
    <row r="1507" spans="5:8" x14ac:dyDescent="0.25">
      <c r="E1507" t="str">
        <f>""</f>
        <v/>
      </c>
      <c r="F1507" t="str">
        <f>""</f>
        <v/>
      </c>
      <c r="G1507" s="4">
        <v>30.78</v>
      </c>
      <c r="H1507" t="str">
        <f t="shared" si="23"/>
        <v>GUARDIAN</v>
      </c>
    </row>
    <row r="1508" spans="5:8" x14ac:dyDescent="0.25">
      <c r="E1508" t="str">
        <f>""</f>
        <v/>
      </c>
      <c r="F1508" t="str">
        <f>""</f>
        <v/>
      </c>
      <c r="G1508" s="4">
        <v>15.39</v>
      </c>
      <c r="H1508" t="str">
        <f t="shared" si="23"/>
        <v>GUARDIAN</v>
      </c>
    </row>
    <row r="1509" spans="5:8" x14ac:dyDescent="0.25">
      <c r="E1509" t="str">
        <f>""</f>
        <v/>
      </c>
      <c r="F1509" t="str">
        <f>""</f>
        <v/>
      </c>
      <c r="G1509" s="4">
        <v>92.34</v>
      </c>
      <c r="H1509" t="str">
        <f t="shared" si="23"/>
        <v>GUARDIAN</v>
      </c>
    </row>
    <row r="1510" spans="5:8" x14ac:dyDescent="0.25">
      <c r="E1510" t="str">
        <f>""</f>
        <v/>
      </c>
      <c r="F1510" t="str">
        <f>""</f>
        <v/>
      </c>
      <c r="G1510" s="4">
        <v>30.78</v>
      </c>
      <c r="H1510" t="str">
        <f t="shared" si="23"/>
        <v>GUARDIAN</v>
      </c>
    </row>
    <row r="1511" spans="5:8" x14ac:dyDescent="0.25">
      <c r="E1511" t="str">
        <f>""</f>
        <v/>
      </c>
      <c r="F1511" t="str">
        <f>""</f>
        <v/>
      </c>
      <c r="G1511" s="4">
        <v>92.34</v>
      </c>
      <c r="H1511" t="str">
        <f t="shared" si="23"/>
        <v>GUARDIAN</v>
      </c>
    </row>
    <row r="1512" spans="5:8" x14ac:dyDescent="0.25">
      <c r="E1512" t="str">
        <f>""</f>
        <v/>
      </c>
      <c r="F1512" t="str">
        <f>""</f>
        <v/>
      </c>
      <c r="G1512" s="4">
        <v>138.51</v>
      </c>
      <c r="H1512" t="str">
        <f t="shared" si="23"/>
        <v>GUARDIAN</v>
      </c>
    </row>
    <row r="1513" spans="5:8" x14ac:dyDescent="0.25">
      <c r="E1513" t="str">
        <f>""</f>
        <v/>
      </c>
      <c r="F1513" t="str">
        <f>""</f>
        <v/>
      </c>
      <c r="G1513" s="4">
        <v>215.69</v>
      </c>
      <c r="H1513" t="str">
        <f t="shared" si="23"/>
        <v>GUARDIAN</v>
      </c>
    </row>
    <row r="1514" spans="5:8" x14ac:dyDescent="0.25">
      <c r="E1514" t="str">
        <f>""</f>
        <v/>
      </c>
      <c r="F1514" t="str">
        <f>""</f>
        <v/>
      </c>
      <c r="G1514" s="4">
        <v>15.39</v>
      </c>
      <c r="H1514" t="str">
        <f t="shared" si="23"/>
        <v>GUARDIAN</v>
      </c>
    </row>
    <row r="1515" spans="5:8" x14ac:dyDescent="0.25">
      <c r="E1515" t="str">
        <f>""</f>
        <v/>
      </c>
      <c r="F1515" t="str">
        <f>""</f>
        <v/>
      </c>
      <c r="G1515" s="4">
        <v>919.73</v>
      </c>
      <c r="H1515" t="str">
        <f t="shared" si="23"/>
        <v>GUARDIAN</v>
      </c>
    </row>
    <row r="1516" spans="5:8" x14ac:dyDescent="0.25">
      <c r="E1516" t="str">
        <f>""</f>
        <v/>
      </c>
      <c r="F1516" t="str">
        <f>""</f>
        <v/>
      </c>
      <c r="G1516" s="4">
        <v>45.72</v>
      </c>
      <c r="H1516" t="str">
        <f t="shared" si="23"/>
        <v>GUARDIAN</v>
      </c>
    </row>
    <row r="1517" spans="5:8" x14ac:dyDescent="0.25">
      <c r="E1517" t="str">
        <f>""</f>
        <v/>
      </c>
      <c r="F1517" t="str">
        <f>""</f>
        <v/>
      </c>
      <c r="G1517" s="4">
        <v>819.85</v>
      </c>
      <c r="H1517" t="str">
        <f t="shared" si="23"/>
        <v>GUARDIAN</v>
      </c>
    </row>
    <row r="1518" spans="5:8" x14ac:dyDescent="0.25">
      <c r="E1518" t="str">
        <f>""</f>
        <v/>
      </c>
      <c r="F1518" t="str">
        <f>""</f>
        <v/>
      </c>
      <c r="G1518" s="4">
        <v>230.85</v>
      </c>
      <c r="H1518" t="str">
        <f t="shared" si="23"/>
        <v>GUARDIAN</v>
      </c>
    </row>
    <row r="1519" spans="5:8" x14ac:dyDescent="0.25">
      <c r="E1519" t="str">
        <f>""</f>
        <v/>
      </c>
      <c r="F1519" t="str">
        <f>""</f>
        <v/>
      </c>
      <c r="G1519" s="4">
        <v>30.78</v>
      </c>
      <c r="H1519" t="str">
        <f t="shared" si="23"/>
        <v>GUARDIAN</v>
      </c>
    </row>
    <row r="1520" spans="5:8" x14ac:dyDescent="0.25">
      <c r="E1520" t="str">
        <f>""</f>
        <v/>
      </c>
      <c r="F1520" t="str">
        <f>""</f>
        <v/>
      </c>
      <c r="G1520" s="4">
        <v>30.78</v>
      </c>
      <c r="H1520" t="str">
        <f t="shared" si="23"/>
        <v>GUARDIAN</v>
      </c>
    </row>
    <row r="1521" spans="5:8" x14ac:dyDescent="0.25">
      <c r="E1521" t="str">
        <f>""</f>
        <v/>
      </c>
      <c r="F1521" t="str">
        <f>""</f>
        <v/>
      </c>
      <c r="G1521" s="4">
        <v>15.39</v>
      </c>
      <c r="H1521" t="str">
        <f t="shared" si="23"/>
        <v>GUARDIAN</v>
      </c>
    </row>
    <row r="1522" spans="5:8" x14ac:dyDescent="0.25">
      <c r="E1522" t="str">
        <f>""</f>
        <v/>
      </c>
      <c r="F1522" t="str">
        <f>""</f>
        <v/>
      </c>
      <c r="G1522" s="4">
        <v>30.78</v>
      </c>
      <c r="H1522" t="str">
        <f t="shared" si="23"/>
        <v>GUARDIAN</v>
      </c>
    </row>
    <row r="1523" spans="5:8" x14ac:dyDescent="0.25">
      <c r="E1523" t="str">
        <f>""</f>
        <v/>
      </c>
      <c r="F1523" t="str">
        <f>""</f>
        <v/>
      </c>
      <c r="G1523" s="4">
        <v>15.39</v>
      </c>
      <c r="H1523" t="str">
        <f t="shared" si="23"/>
        <v>GUARDIAN</v>
      </c>
    </row>
    <row r="1524" spans="5:8" x14ac:dyDescent="0.25">
      <c r="E1524" t="str">
        <f>""</f>
        <v/>
      </c>
      <c r="F1524" t="str">
        <f>""</f>
        <v/>
      </c>
      <c r="G1524" s="4">
        <v>1.0900000000000001</v>
      </c>
      <c r="H1524" t="str">
        <f t="shared" si="23"/>
        <v>GUARDIAN</v>
      </c>
    </row>
    <row r="1525" spans="5:8" x14ac:dyDescent="0.25">
      <c r="E1525" t="str">
        <f>""</f>
        <v/>
      </c>
      <c r="F1525" t="str">
        <f>""</f>
        <v/>
      </c>
      <c r="G1525" s="4">
        <v>96.13</v>
      </c>
      <c r="H1525" t="str">
        <f t="shared" si="23"/>
        <v>GUARDIAN</v>
      </c>
    </row>
    <row r="1526" spans="5:8" x14ac:dyDescent="0.25">
      <c r="E1526" t="str">
        <f>""</f>
        <v/>
      </c>
      <c r="F1526" t="str">
        <f>""</f>
        <v/>
      </c>
      <c r="G1526" s="4">
        <v>89.44</v>
      </c>
      <c r="H1526" t="str">
        <f t="shared" si="23"/>
        <v>GUARDIAN</v>
      </c>
    </row>
    <row r="1527" spans="5:8" x14ac:dyDescent="0.25">
      <c r="E1527" t="str">
        <f>""</f>
        <v/>
      </c>
      <c r="F1527" t="str">
        <f>""</f>
        <v/>
      </c>
      <c r="G1527" s="4">
        <v>166.39</v>
      </c>
      <c r="H1527" t="str">
        <f t="shared" si="23"/>
        <v>GUARDIAN</v>
      </c>
    </row>
    <row r="1528" spans="5:8" x14ac:dyDescent="0.25">
      <c r="E1528" t="str">
        <f>""</f>
        <v/>
      </c>
      <c r="F1528" t="str">
        <f>""</f>
        <v/>
      </c>
      <c r="G1528" s="4">
        <v>151</v>
      </c>
      <c r="H1528" t="str">
        <f t="shared" si="23"/>
        <v>GUARDIAN</v>
      </c>
    </row>
    <row r="1529" spans="5:8" x14ac:dyDescent="0.25">
      <c r="E1529" t="str">
        <f>""</f>
        <v/>
      </c>
      <c r="F1529" t="str">
        <f>""</f>
        <v/>
      </c>
      <c r="G1529" s="4">
        <v>0.4</v>
      </c>
      <c r="H1529" t="str">
        <f t="shared" si="23"/>
        <v>GUARDIAN</v>
      </c>
    </row>
    <row r="1530" spans="5:8" x14ac:dyDescent="0.25">
      <c r="E1530" t="str">
        <f>""</f>
        <v/>
      </c>
      <c r="F1530" t="str">
        <f>""</f>
        <v/>
      </c>
      <c r="G1530" s="4">
        <v>0.56000000000000005</v>
      </c>
      <c r="H1530" t="str">
        <f t="shared" si="23"/>
        <v>GUARDIAN</v>
      </c>
    </row>
    <row r="1531" spans="5:8" x14ac:dyDescent="0.25">
      <c r="E1531" t="str">
        <f>""</f>
        <v/>
      </c>
      <c r="F1531" t="str">
        <f>""</f>
        <v/>
      </c>
      <c r="G1531" s="4">
        <v>15.33</v>
      </c>
      <c r="H1531" t="str">
        <f t="shared" si="23"/>
        <v>GUARDIAN</v>
      </c>
    </row>
    <row r="1532" spans="5:8" x14ac:dyDescent="0.25">
      <c r="E1532" t="str">
        <f>"GDE202112077702"</f>
        <v>GDE202112077702</v>
      </c>
      <c r="F1532" t="str">
        <f>"GUARDIAN"</f>
        <v>GUARDIAN</v>
      </c>
      <c r="G1532" s="4">
        <v>153.9</v>
      </c>
      <c r="H1532" t="str">
        <f t="shared" si="23"/>
        <v>GUARDIAN</v>
      </c>
    </row>
    <row r="1533" spans="5:8" x14ac:dyDescent="0.25">
      <c r="E1533" t="str">
        <f>"GDE202112177863"</f>
        <v>GDE202112177863</v>
      </c>
      <c r="F1533" t="str">
        <f>"GUARDIAN"</f>
        <v>GUARDIAN</v>
      </c>
      <c r="G1533" s="4">
        <v>15.39</v>
      </c>
      <c r="H1533" t="str">
        <f t="shared" si="23"/>
        <v>GUARDIAN</v>
      </c>
    </row>
    <row r="1534" spans="5:8" x14ac:dyDescent="0.25">
      <c r="E1534" t="str">
        <f>""</f>
        <v/>
      </c>
      <c r="F1534" t="str">
        <f>""</f>
        <v/>
      </c>
      <c r="G1534" s="4">
        <v>20.07</v>
      </c>
      <c r="H1534" t="str">
        <f t="shared" si="23"/>
        <v>GUARDIAN</v>
      </c>
    </row>
    <row r="1535" spans="5:8" x14ac:dyDescent="0.25">
      <c r="E1535" t="str">
        <f>""</f>
        <v/>
      </c>
      <c r="F1535" t="str">
        <f>""</f>
        <v/>
      </c>
      <c r="G1535" s="4">
        <v>91.25</v>
      </c>
      <c r="H1535" t="str">
        <f t="shared" si="23"/>
        <v>GUARDIAN</v>
      </c>
    </row>
    <row r="1536" spans="5:8" x14ac:dyDescent="0.25">
      <c r="E1536" t="str">
        <f>""</f>
        <v/>
      </c>
      <c r="F1536" t="str">
        <f>""</f>
        <v/>
      </c>
      <c r="G1536" s="4">
        <v>30.78</v>
      </c>
      <c r="H1536" t="str">
        <f t="shared" ref="H1536:H1599" si="24">"GUARDIAN"</f>
        <v>GUARDIAN</v>
      </c>
    </row>
    <row r="1537" spans="5:8" x14ac:dyDescent="0.25">
      <c r="E1537" t="str">
        <f>""</f>
        <v/>
      </c>
      <c r="F1537" t="str">
        <f>""</f>
        <v/>
      </c>
      <c r="G1537" s="4">
        <v>15.39</v>
      </c>
      <c r="H1537" t="str">
        <f t="shared" si="24"/>
        <v>GUARDIAN</v>
      </c>
    </row>
    <row r="1538" spans="5:8" x14ac:dyDescent="0.25">
      <c r="E1538" t="str">
        <f>""</f>
        <v/>
      </c>
      <c r="F1538" t="str">
        <f>""</f>
        <v/>
      </c>
      <c r="G1538" s="4">
        <v>30.78</v>
      </c>
      <c r="H1538" t="str">
        <f t="shared" si="24"/>
        <v>GUARDIAN</v>
      </c>
    </row>
    <row r="1539" spans="5:8" x14ac:dyDescent="0.25">
      <c r="E1539" t="str">
        <f>""</f>
        <v/>
      </c>
      <c r="F1539" t="str">
        <f>""</f>
        <v/>
      </c>
      <c r="G1539" s="4">
        <v>215.46</v>
      </c>
      <c r="H1539" t="str">
        <f t="shared" si="24"/>
        <v>GUARDIAN</v>
      </c>
    </row>
    <row r="1540" spans="5:8" x14ac:dyDescent="0.25">
      <c r="E1540" t="str">
        <f>""</f>
        <v/>
      </c>
      <c r="F1540" t="str">
        <f>""</f>
        <v/>
      </c>
      <c r="G1540" s="4">
        <v>15.39</v>
      </c>
      <c r="H1540" t="str">
        <f t="shared" si="24"/>
        <v>GUARDIAN</v>
      </c>
    </row>
    <row r="1541" spans="5:8" x14ac:dyDescent="0.25">
      <c r="E1541" t="str">
        <f>""</f>
        <v/>
      </c>
      <c r="F1541" t="str">
        <f>""</f>
        <v/>
      </c>
      <c r="G1541" s="4">
        <v>61.56</v>
      </c>
      <c r="H1541" t="str">
        <f t="shared" si="24"/>
        <v>GUARDIAN</v>
      </c>
    </row>
    <row r="1542" spans="5:8" x14ac:dyDescent="0.25">
      <c r="E1542" t="str">
        <f>""</f>
        <v/>
      </c>
      <c r="F1542" t="str">
        <f>""</f>
        <v/>
      </c>
      <c r="G1542" s="4">
        <v>107.73</v>
      </c>
      <c r="H1542" t="str">
        <f t="shared" si="24"/>
        <v>GUARDIAN</v>
      </c>
    </row>
    <row r="1543" spans="5:8" x14ac:dyDescent="0.25">
      <c r="E1543" t="str">
        <f>""</f>
        <v/>
      </c>
      <c r="F1543" t="str">
        <f>""</f>
        <v/>
      </c>
      <c r="G1543" s="4">
        <v>30.78</v>
      </c>
      <c r="H1543" t="str">
        <f t="shared" si="24"/>
        <v>GUARDIAN</v>
      </c>
    </row>
    <row r="1544" spans="5:8" x14ac:dyDescent="0.25">
      <c r="E1544" t="str">
        <f>""</f>
        <v/>
      </c>
      <c r="F1544" t="str">
        <f>""</f>
        <v/>
      </c>
      <c r="G1544" s="4">
        <v>61.56</v>
      </c>
      <c r="H1544" t="str">
        <f t="shared" si="24"/>
        <v>GUARDIAN</v>
      </c>
    </row>
    <row r="1545" spans="5:8" x14ac:dyDescent="0.25">
      <c r="E1545" t="str">
        <f>""</f>
        <v/>
      </c>
      <c r="F1545" t="str">
        <f>""</f>
        <v/>
      </c>
      <c r="G1545" s="4">
        <v>30.78</v>
      </c>
      <c r="H1545" t="str">
        <f t="shared" si="24"/>
        <v>GUARDIAN</v>
      </c>
    </row>
    <row r="1546" spans="5:8" x14ac:dyDescent="0.25">
      <c r="E1546" t="str">
        <f>""</f>
        <v/>
      </c>
      <c r="F1546" t="str">
        <f>""</f>
        <v/>
      </c>
      <c r="G1546" s="4">
        <v>30.78</v>
      </c>
      <c r="H1546" t="str">
        <f t="shared" si="24"/>
        <v>GUARDIAN</v>
      </c>
    </row>
    <row r="1547" spans="5:8" x14ac:dyDescent="0.25">
      <c r="E1547" t="str">
        <f>""</f>
        <v/>
      </c>
      <c r="F1547" t="str">
        <f>""</f>
        <v/>
      </c>
      <c r="G1547" s="4">
        <v>30.78</v>
      </c>
      <c r="H1547" t="str">
        <f t="shared" si="24"/>
        <v>GUARDIAN</v>
      </c>
    </row>
    <row r="1548" spans="5:8" x14ac:dyDescent="0.25">
      <c r="E1548" t="str">
        <f>""</f>
        <v/>
      </c>
      <c r="F1548" t="str">
        <f>""</f>
        <v/>
      </c>
      <c r="G1548" s="4">
        <v>168.33</v>
      </c>
      <c r="H1548" t="str">
        <f t="shared" si="24"/>
        <v>GUARDIAN</v>
      </c>
    </row>
    <row r="1549" spans="5:8" x14ac:dyDescent="0.25">
      <c r="E1549" t="str">
        <f>""</f>
        <v/>
      </c>
      <c r="F1549" t="str">
        <f>""</f>
        <v/>
      </c>
      <c r="G1549" s="4">
        <v>30.78</v>
      </c>
      <c r="H1549" t="str">
        <f t="shared" si="24"/>
        <v>GUARDIAN</v>
      </c>
    </row>
    <row r="1550" spans="5:8" x14ac:dyDescent="0.25">
      <c r="E1550" t="str">
        <f>""</f>
        <v/>
      </c>
      <c r="F1550" t="str">
        <f>""</f>
        <v/>
      </c>
      <c r="G1550" s="4">
        <v>30.78</v>
      </c>
      <c r="H1550" t="str">
        <f t="shared" si="24"/>
        <v>GUARDIAN</v>
      </c>
    </row>
    <row r="1551" spans="5:8" x14ac:dyDescent="0.25">
      <c r="E1551" t="str">
        <f>""</f>
        <v/>
      </c>
      <c r="F1551" t="str">
        <f>""</f>
        <v/>
      </c>
      <c r="G1551" s="4">
        <v>15.39</v>
      </c>
      <c r="H1551" t="str">
        <f t="shared" si="24"/>
        <v>GUARDIAN</v>
      </c>
    </row>
    <row r="1552" spans="5:8" x14ac:dyDescent="0.25">
      <c r="E1552" t="str">
        <f>""</f>
        <v/>
      </c>
      <c r="F1552" t="str">
        <f>""</f>
        <v/>
      </c>
      <c r="G1552" s="4">
        <v>92.34</v>
      </c>
      <c r="H1552" t="str">
        <f t="shared" si="24"/>
        <v>GUARDIAN</v>
      </c>
    </row>
    <row r="1553" spans="5:8" x14ac:dyDescent="0.25">
      <c r="E1553" t="str">
        <f>""</f>
        <v/>
      </c>
      <c r="F1553" t="str">
        <f>""</f>
        <v/>
      </c>
      <c r="G1553" s="4">
        <v>30.78</v>
      </c>
      <c r="H1553" t="str">
        <f t="shared" si="24"/>
        <v>GUARDIAN</v>
      </c>
    </row>
    <row r="1554" spans="5:8" x14ac:dyDescent="0.25">
      <c r="E1554" t="str">
        <f>""</f>
        <v/>
      </c>
      <c r="F1554" t="str">
        <f>""</f>
        <v/>
      </c>
      <c r="G1554" s="4">
        <v>92.34</v>
      </c>
      <c r="H1554" t="str">
        <f t="shared" si="24"/>
        <v>GUARDIAN</v>
      </c>
    </row>
    <row r="1555" spans="5:8" x14ac:dyDescent="0.25">
      <c r="E1555" t="str">
        <f>""</f>
        <v/>
      </c>
      <c r="F1555" t="str">
        <f>""</f>
        <v/>
      </c>
      <c r="G1555" s="4">
        <v>138.51</v>
      </c>
      <c r="H1555" t="str">
        <f t="shared" si="24"/>
        <v>GUARDIAN</v>
      </c>
    </row>
    <row r="1556" spans="5:8" x14ac:dyDescent="0.25">
      <c r="E1556" t="str">
        <f>""</f>
        <v/>
      </c>
      <c r="F1556" t="str">
        <f>""</f>
        <v/>
      </c>
      <c r="G1556" s="4">
        <v>215.69</v>
      </c>
      <c r="H1556" t="str">
        <f t="shared" si="24"/>
        <v>GUARDIAN</v>
      </c>
    </row>
    <row r="1557" spans="5:8" x14ac:dyDescent="0.25">
      <c r="E1557" t="str">
        <f>""</f>
        <v/>
      </c>
      <c r="F1557" t="str">
        <f>""</f>
        <v/>
      </c>
      <c r="G1557" s="4">
        <v>15.39</v>
      </c>
      <c r="H1557" t="str">
        <f t="shared" si="24"/>
        <v>GUARDIAN</v>
      </c>
    </row>
    <row r="1558" spans="5:8" x14ac:dyDescent="0.25">
      <c r="E1558" t="str">
        <f>""</f>
        <v/>
      </c>
      <c r="F1558" t="str">
        <f>""</f>
        <v/>
      </c>
      <c r="G1558" s="4">
        <v>919.78</v>
      </c>
      <c r="H1558" t="str">
        <f t="shared" si="24"/>
        <v>GUARDIAN</v>
      </c>
    </row>
    <row r="1559" spans="5:8" x14ac:dyDescent="0.25">
      <c r="E1559" t="str">
        <f>""</f>
        <v/>
      </c>
      <c r="F1559" t="str">
        <f>""</f>
        <v/>
      </c>
      <c r="G1559" s="4">
        <v>45.72</v>
      </c>
      <c r="H1559" t="str">
        <f t="shared" si="24"/>
        <v>GUARDIAN</v>
      </c>
    </row>
    <row r="1560" spans="5:8" x14ac:dyDescent="0.25">
      <c r="E1560" t="str">
        <f>""</f>
        <v/>
      </c>
      <c r="F1560" t="str">
        <f>""</f>
        <v/>
      </c>
      <c r="G1560" s="4">
        <v>819.8</v>
      </c>
      <c r="H1560" t="str">
        <f t="shared" si="24"/>
        <v>GUARDIAN</v>
      </c>
    </row>
    <row r="1561" spans="5:8" x14ac:dyDescent="0.25">
      <c r="E1561" t="str">
        <f>""</f>
        <v/>
      </c>
      <c r="F1561" t="str">
        <f>""</f>
        <v/>
      </c>
      <c r="G1561" s="4">
        <v>230.85</v>
      </c>
      <c r="H1561" t="str">
        <f t="shared" si="24"/>
        <v>GUARDIAN</v>
      </c>
    </row>
    <row r="1562" spans="5:8" x14ac:dyDescent="0.25">
      <c r="E1562" t="str">
        <f>""</f>
        <v/>
      </c>
      <c r="F1562" t="str">
        <f>""</f>
        <v/>
      </c>
      <c r="G1562" s="4">
        <v>30.78</v>
      </c>
      <c r="H1562" t="str">
        <f t="shared" si="24"/>
        <v>GUARDIAN</v>
      </c>
    </row>
    <row r="1563" spans="5:8" x14ac:dyDescent="0.25">
      <c r="E1563" t="str">
        <f>""</f>
        <v/>
      </c>
      <c r="F1563" t="str">
        <f>""</f>
        <v/>
      </c>
      <c r="G1563" s="4">
        <v>30.78</v>
      </c>
      <c r="H1563" t="str">
        <f t="shared" si="24"/>
        <v>GUARDIAN</v>
      </c>
    </row>
    <row r="1564" spans="5:8" x14ac:dyDescent="0.25">
      <c r="E1564" t="str">
        <f>""</f>
        <v/>
      </c>
      <c r="F1564" t="str">
        <f>""</f>
        <v/>
      </c>
      <c r="G1564" s="4">
        <v>15.39</v>
      </c>
      <c r="H1564" t="str">
        <f t="shared" si="24"/>
        <v>GUARDIAN</v>
      </c>
    </row>
    <row r="1565" spans="5:8" x14ac:dyDescent="0.25">
      <c r="E1565" t="str">
        <f>""</f>
        <v/>
      </c>
      <c r="F1565" t="str">
        <f>""</f>
        <v/>
      </c>
      <c r="G1565" s="4">
        <v>30.78</v>
      </c>
      <c r="H1565" t="str">
        <f t="shared" si="24"/>
        <v>GUARDIAN</v>
      </c>
    </row>
    <row r="1566" spans="5:8" x14ac:dyDescent="0.25">
      <c r="E1566" t="str">
        <f>""</f>
        <v/>
      </c>
      <c r="F1566" t="str">
        <f>""</f>
        <v/>
      </c>
      <c r="G1566" s="4">
        <v>15.39</v>
      </c>
      <c r="H1566" t="str">
        <f t="shared" si="24"/>
        <v>GUARDIAN</v>
      </c>
    </row>
    <row r="1567" spans="5:8" x14ac:dyDescent="0.25">
      <c r="E1567" t="str">
        <f>""</f>
        <v/>
      </c>
      <c r="F1567" t="str">
        <f>""</f>
        <v/>
      </c>
      <c r="G1567" s="4">
        <v>1.0900000000000001</v>
      </c>
      <c r="H1567" t="str">
        <f t="shared" si="24"/>
        <v>GUARDIAN</v>
      </c>
    </row>
    <row r="1568" spans="5:8" x14ac:dyDescent="0.25">
      <c r="E1568" t="str">
        <f>""</f>
        <v/>
      </c>
      <c r="F1568" t="str">
        <f>""</f>
        <v/>
      </c>
      <c r="G1568" s="4">
        <v>96.13</v>
      </c>
      <c r="H1568" t="str">
        <f t="shared" si="24"/>
        <v>GUARDIAN</v>
      </c>
    </row>
    <row r="1569" spans="5:8" x14ac:dyDescent="0.25">
      <c r="E1569" t="str">
        <f>""</f>
        <v/>
      </c>
      <c r="F1569" t="str">
        <f>""</f>
        <v/>
      </c>
      <c r="G1569" s="4">
        <v>89.44</v>
      </c>
      <c r="H1569" t="str">
        <f t="shared" si="24"/>
        <v>GUARDIAN</v>
      </c>
    </row>
    <row r="1570" spans="5:8" x14ac:dyDescent="0.25">
      <c r="E1570" t="str">
        <f>""</f>
        <v/>
      </c>
      <c r="F1570" t="str">
        <f>""</f>
        <v/>
      </c>
      <c r="G1570" s="4">
        <v>166.39</v>
      </c>
      <c r="H1570" t="str">
        <f t="shared" si="24"/>
        <v>GUARDIAN</v>
      </c>
    </row>
    <row r="1571" spans="5:8" x14ac:dyDescent="0.25">
      <c r="E1571" t="str">
        <f>""</f>
        <v/>
      </c>
      <c r="F1571" t="str">
        <f>""</f>
        <v/>
      </c>
      <c r="G1571" s="4">
        <v>151</v>
      </c>
      <c r="H1571" t="str">
        <f t="shared" si="24"/>
        <v>GUARDIAN</v>
      </c>
    </row>
    <row r="1572" spans="5:8" x14ac:dyDescent="0.25">
      <c r="E1572" t="str">
        <f>""</f>
        <v/>
      </c>
      <c r="F1572" t="str">
        <f>""</f>
        <v/>
      </c>
      <c r="G1572" s="4">
        <v>0.4</v>
      </c>
      <c r="H1572" t="str">
        <f t="shared" si="24"/>
        <v>GUARDIAN</v>
      </c>
    </row>
    <row r="1573" spans="5:8" x14ac:dyDescent="0.25">
      <c r="E1573" t="str">
        <f>""</f>
        <v/>
      </c>
      <c r="F1573" t="str">
        <f>""</f>
        <v/>
      </c>
      <c r="G1573" s="4">
        <v>0.56000000000000005</v>
      </c>
      <c r="H1573" t="str">
        <f t="shared" si="24"/>
        <v>GUARDIAN</v>
      </c>
    </row>
    <row r="1574" spans="5:8" x14ac:dyDescent="0.25">
      <c r="E1574" t="str">
        <f>""</f>
        <v/>
      </c>
      <c r="F1574" t="str">
        <f>""</f>
        <v/>
      </c>
      <c r="G1574" s="4">
        <v>15.33</v>
      </c>
      <c r="H1574" t="str">
        <f t="shared" si="24"/>
        <v>GUARDIAN</v>
      </c>
    </row>
    <row r="1575" spans="5:8" x14ac:dyDescent="0.25">
      <c r="E1575" t="str">
        <f>"GDE202112177864"</f>
        <v>GDE202112177864</v>
      </c>
      <c r="F1575" t="str">
        <f>"GUARDIAN"</f>
        <v>GUARDIAN</v>
      </c>
      <c r="G1575" s="4">
        <v>153.9</v>
      </c>
      <c r="H1575" t="str">
        <f t="shared" si="24"/>
        <v>GUARDIAN</v>
      </c>
    </row>
    <row r="1576" spans="5:8" x14ac:dyDescent="0.25">
      <c r="E1576" t="str">
        <f>"GDF202112077701"</f>
        <v>GDF202112077701</v>
      </c>
      <c r="F1576" t="str">
        <f>"GUARDIAN"</f>
        <v>GUARDIAN</v>
      </c>
      <c r="G1576" s="4">
        <v>30.78</v>
      </c>
      <c r="H1576" t="str">
        <f t="shared" si="24"/>
        <v>GUARDIAN</v>
      </c>
    </row>
    <row r="1577" spans="5:8" x14ac:dyDescent="0.25">
      <c r="E1577" t="str">
        <f>""</f>
        <v/>
      </c>
      <c r="F1577" t="str">
        <f>""</f>
        <v/>
      </c>
      <c r="G1577" s="4">
        <v>30.78</v>
      </c>
      <c r="H1577" t="str">
        <f t="shared" si="24"/>
        <v>GUARDIAN</v>
      </c>
    </row>
    <row r="1578" spans="5:8" x14ac:dyDescent="0.25">
      <c r="E1578" t="str">
        <f>""</f>
        <v/>
      </c>
      <c r="F1578" t="str">
        <f>""</f>
        <v/>
      </c>
      <c r="G1578" s="4">
        <v>30.78</v>
      </c>
      <c r="H1578" t="str">
        <f t="shared" si="24"/>
        <v>GUARDIAN</v>
      </c>
    </row>
    <row r="1579" spans="5:8" x14ac:dyDescent="0.25">
      <c r="E1579" t="str">
        <f>""</f>
        <v/>
      </c>
      <c r="F1579" t="str">
        <f>""</f>
        <v/>
      </c>
      <c r="G1579" s="4">
        <v>15.39</v>
      </c>
      <c r="H1579" t="str">
        <f t="shared" si="24"/>
        <v>GUARDIAN</v>
      </c>
    </row>
    <row r="1580" spans="5:8" x14ac:dyDescent="0.25">
      <c r="E1580" t="str">
        <f>""</f>
        <v/>
      </c>
      <c r="F1580" t="str">
        <f>""</f>
        <v/>
      </c>
      <c r="G1580" s="4">
        <v>30.78</v>
      </c>
      <c r="H1580" t="str">
        <f t="shared" si="24"/>
        <v>GUARDIAN</v>
      </c>
    </row>
    <row r="1581" spans="5:8" x14ac:dyDescent="0.25">
      <c r="E1581" t="str">
        <f>""</f>
        <v/>
      </c>
      <c r="F1581" t="str">
        <f>""</f>
        <v/>
      </c>
      <c r="G1581" s="4">
        <v>15.39</v>
      </c>
      <c r="H1581" t="str">
        <f t="shared" si="24"/>
        <v>GUARDIAN</v>
      </c>
    </row>
    <row r="1582" spans="5:8" x14ac:dyDescent="0.25">
      <c r="E1582" t="str">
        <f>""</f>
        <v/>
      </c>
      <c r="F1582" t="str">
        <f>""</f>
        <v/>
      </c>
      <c r="G1582" s="4">
        <v>15.39</v>
      </c>
      <c r="H1582" t="str">
        <f t="shared" si="24"/>
        <v>GUARDIAN</v>
      </c>
    </row>
    <row r="1583" spans="5:8" x14ac:dyDescent="0.25">
      <c r="E1583" t="str">
        <f>""</f>
        <v/>
      </c>
      <c r="F1583" t="str">
        <f>""</f>
        <v/>
      </c>
      <c r="G1583" s="4">
        <v>15.39</v>
      </c>
      <c r="H1583" t="str">
        <f t="shared" si="24"/>
        <v>GUARDIAN</v>
      </c>
    </row>
    <row r="1584" spans="5:8" x14ac:dyDescent="0.25">
      <c r="E1584" t="str">
        <f>""</f>
        <v/>
      </c>
      <c r="F1584" t="str">
        <f>""</f>
        <v/>
      </c>
      <c r="G1584" s="4">
        <v>15.39</v>
      </c>
      <c r="H1584" t="str">
        <f t="shared" si="24"/>
        <v>GUARDIAN</v>
      </c>
    </row>
    <row r="1585" spans="5:8" x14ac:dyDescent="0.25">
      <c r="E1585" t="str">
        <f>""</f>
        <v/>
      </c>
      <c r="F1585" t="str">
        <f>""</f>
        <v/>
      </c>
      <c r="G1585" s="4">
        <v>30.78</v>
      </c>
      <c r="H1585" t="str">
        <f t="shared" si="24"/>
        <v>GUARDIAN</v>
      </c>
    </row>
    <row r="1586" spans="5:8" x14ac:dyDescent="0.25">
      <c r="E1586" t="str">
        <f>""</f>
        <v/>
      </c>
      <c r="F1586" t="str">
        <f>""</f>
        <v/>
      </c>
      <c r="G1586" s="4">
        <v>30.78</v>
      </c>
      <c r="H1586" t="str">
        <f t="shared" si="24"/>
        <v>GUARDIAN</v>
      </c>
    </row>
    <row r="1587" spans="5:8" x14ac:dyDescent="0.25">
      <c r="E1587" t="str">
        <f>""</f>
        <v/>
      </c>
      <c r="F1587" t="str">
        <f>""</f>
        <v/>
      </c>
      <c r="G1587" s="4">
        <v>30.78</v>
      </c>
      <c r="H1587" t="str">
        <f t="shared" si="24"/>
        <v>GUARDIAN</v>
      </c>
    </row>
    <row r="1588" spans="5:8" x14ac:dyDescent="0.25">
      <c r="E1588" t="str">
        <f>""</f>
        <v/>
      </c>
      <c r="F1588" t="str">
        <f>""</f>
        <v/>
      </c>
      <c r="G1588" s="4">
        <v>15.39</v>
      </c>
      <c r="H1588" t="str">
        <f t="shared" si="24"/>
        <v>GUARDIAN</v>
      </c>
    </row>
    <row r="1589" spans="5:8" x14ac:dyDescent="0.25">
      <c r="E1589" t="str">
        <f>""</f>
        <v/>
      </c>
      <c r="F1589" t="str">
        <f>""</f>
        <v/>
      </c>
      <c r="G1589" s="4">
        <v>15.39</v>
      </c>
      <c r="H1589" t="str">
        <f t="shared" si="24"/>
        <v>GUARDIAN</v>
      </c>
    </row>
    <row r="1590" spans="5:8" x14ac:dyDescent="0.25">
      <c r="E1590" t="str">
        <f>""</f>
        <v/>
      </c>
      <c r="F1590" t="str">
        <f>""</f>
        <v/>
      </c>
      <c r="G1590" s="4">
        <v>30.78</v>
      </c>
      <c r="H1590" t="str">
        <f t="shared" si="24"/>
        <v>GUARDIAN</v>
      </c>
    </row>
    <row r="1591" spans="5:8" x14ac:dyDescent="0.25">
      <c r="E1591" t="str">
        <f>""</f>
        <v/>
      </c>
      <c r="F1591" t="str">
        <f>""</f>
        <v/>
      </c>
      <c r="G1591" s="4">
        <v>46.17</v>
      </c>
      <c r="H1591" t="str">
        <f t="shared" si="24"/>
        <v>GUARDIAN</v>
      </c>
    </row>
    <row r="1592" spans="5:8" x14ac:dyDescent="0.25">
      <c r="E1592" t="str">
        <f>""</f>
        <v/>
      </c>
      <c r="F1592" t="str">
        <f>""</f>
        <v/>
      </c>
      <c r="G1592" s="4">
        <v>15.39</v>
      </c>
      <c r="H1592" t="str">
        <f t="shared" si="24"/>
        <v>GUARDIAN</v>
      </c>
    </row>
    <row r="1593" spans="5:8" x14ac:dyDescent="0.25">
      <c r="E1593" t="str">
        <f>""</f>
        <v/>
      </c>
      <c r="F1593" t="str">
        <f>""</f>
        <v/>
      </c>
      <c r="G1593" s="4">
        <v>170.86</v>
      </c>
      <c r="H1593" t="str">
        <f t="shared" si="24"/>
        <v>GUARDIAN</v>
      </c>
    </row>
    <row r="1594" spans="5:8" x14ac:dyDescent="0.25">
      <c r="E1594" t="str">
        <f>""</f>
        <v/>
      </c>
      <c r="F1594" t="str">
        <f>""</f>
        <v/>
      </c>
      <c r="G1594" s="4">
        <v>121.55</v>
      </c>
      <c r="H1594" t="str">
        <f t="shared" si="24"/>
        <v>GUARDIAN</v>
      </c>
    </row>
    <row r="1595" spans="5:8" x14ac:dyDescent="0.25">
      <c r="E1595" t="str">
        <f>""</f>
        <v/>
      </c>
      <c r="F1595" t="str">
        <f>""</f>
        <v/>
      </c>
      <c r="G1595" s="4">
        <v>15.39</v>
      </c>
      <c r="H1595" t="str">
        <f t="shared" si="24"/>
        <v>GUARDIAN</v>
      </c>
    </row>
    <row r="1596" spans="5:8" x14ac:dyDescent="0.25">
      <c r="E1596" t="str">
        <f>""</f>
        <v/>
      </c>
      <c r="F1596" t="str">
        <f>""</f>
        <v/>
      </c>
      <c r="G1596" s="4">
        <v>15.39</v>
      </c>
      <c r="H1596" t="str">
        <f t="shared" si="24"/>
        <v>GUARDIAN</v>
      </c>
    </row>
    <row r="1597" spans="5:8" x14ac:dyDescent="0.25">
      <c r="E1597" t="str">
        <f>""</f>
        <v/>
      </c>
      <c r="F1597" t="str">
        <f>""</f>
        <v/>
      </c>
      <c r="G1597" s="4">
        <v>15.39</v>
      </c>
      <c r="H1597" t="str">
        <f t="shared" si="24"/>
        <v>GUARDIAN</v>
      </c>
    </row>
    <row r="1598" spans="5:8" x14ac:dyDescent="0.25">
      <c r="E1598" t="str">
        <f>""</f>
        <v/>
      </c>
      <c r="F1598" t="str">
        <f>""</f>
        <v/>
      </c>
      <c r="G1598" s="4">
        <v>15.39</v>
      </c>
      <c r="H1598" t="str">
        <f t="shared" si="24"/>
        <v>GUARDIAN</v>
      </c>
    </row>
    <row r="1599" spans="5:8" x14ac:dyDescent="0.25">
      <c r="E1599" t="str">
        <f>""</f>
        <v/>
      </c>
      <c r="F1599" t="str">
        <f>""</f>
        <v/>
      </c>
      <c r="G1599" s="4">
        <v>15.39</v>
      </c>
      <c r="H1599" t="str">
        <f t="shared" si="24"/>
        <v>GUARDIAN</v>
      </c>
    </row>
    <row r="1600" spans="5:8" x14ac:dyDescent="0.25">
      <c r="E1600" t="str">
        <f>""</f>
        <v/>
      </c>
      <c r="F1600" t="str">
        <f>""</f>
        <v/>
      </c>
      <c r="G1600" s="4">
        <v>1775.82</v>
      </c>
      <c r="H1600" t="str">
        <f t="shared" ref="H1600:H1663" si="25">"GUARDIAN"</f>
        <v>GUARDIAN</v>
      </c>
    </row>
    <row r="1601" spans="5:8" x14ac:dyDescent="0.25">
      <c r="E1601" t="str">
        <f>"GDF202112077702"</f>
        <v>GDF202112077702</v>
      </c>
      <c r="F1601" t="str">
        <f>"GUARDIAN"</f>
        <v>GUARDIAN</v>
      </c>
      <c r="G1601" s="4">
        <v>30.78</v>
      </c>
      <c r="H1601" t="str">
        <f t="shared" si="25"/>
        <v>GUARDIAN</v>
      </c>
    </row>
    <row r="1602" spans="5:8" x14ac:dyDescent="0.25">
      <c r="E1602" t="str">
        <f>""</f>
        <v/>
      </c>
      <c r="F1602" t="str">
        <f>""</f>
        <v/>
      </c>
      <c r="G1602" s="4">
        <v>69.64</v>
      </c>
      <c r="H1602" t="str">
        <f t="shared" si="25"/>
        <v>GUARDIAN</v>
      </c>
    </row>
    <row r="1603" spans="5:8" x14ac:dyDescent="0.25">
      <c r="E1603" t="str">
        <f>"GDF202112177863"</f>
        <v>GDF202112177863</v>
      </c>
      <c r="F1603" t="str">
        <f>"GUARDIAN"</f>
        <v>GUARDIAN</v>
      </c>
      <c r="G1603" s="4">
        <v>30.78</v>
      </c>
      <c r="H1603" t="str">
        <f t="shared" si="25"/>
        <v>GUARDIAN</v>
      </c>
    </row>
    <row r="1604" spans="5:8" x14ac:dyDescent="0.25">
      <c r="E1604" t="str">
        <f>""</f>
        <v/>
      </c>
      <c r="F1604" t="str">
        <f>""</f>
        <v/>
      </c>
      <c r="G1604" s="4">
        <v>30.78</v>
      </c>
      <c r="H1604" t="str">
        <f t="shared" si="25"/>
        <v>GUARDIAN</v>
      </c>
    </row>
    <row r="1605" spans="5:8" x14ac:dyDescent="0.25">
      <c r="E1605" t="str">
        <f>""</f>
        <v/>
      </c>
      <c r="F1605" t="str">
        <f>""</f>
        <v/>
      </c>
      <c r="G1605" s="4">
        <v>30.78</v>
      </c>
      <c r="H1605" t="str">
        <f t="shared" si="25"/>
        <v>GUARDIAN</v>
      </c>
    </row>
    <row r="1606" spans="5:8" x14ac:dyDescent="0.25">
      <c r="E1606" t="str">
        <f>""</f>
        <v/>
      </c>
      <c r="F1606" t="str">
        <f>""</f>
        <v/>
      </c>
      <c r="G1606" s="4">
        <v>15.39</v>
      </c>
      <c r="H1606" t="str">
        <f t="shared" si="25"/>
        <v>GUARDIAN</v>
      </c>
    </row>
    <row r="1607" spans="5:8" x14ac:dyDescent="0.25">
      <c r="E1607" t="str">
        <f>""</f>
        <v/>
      </c>
      <c r="F1607" t="str">
        <f>""</f>
        <v/>
      </c>
      <c r="G1607" s="4">
        <v>30.78</v>
      </c>
      <c r="H1607" t="str">
        <f t="shared" si="25"/>
        <v>GUARDIAN</v>
      </c>
    </row>
    <row r="1608" spans="5:8" x14ac:dyDescent="0.25">
      <c r="E1608" t="str">
        <f>""</f>
        <v/>
      </c>
      <c r="F1608" t="str">
        <f>""</f>
        <v/>
      </c>
      <c r="G1608" s="4">
        <v>15.39</v>
      </c>
      <c r="H1608" t="str">
        <f t="shared" si="25"/>
        <v>GUARDIAN</v>
      </c>
    </row>
    <row r="1609" spans="5:8" x14ac:dyDescent="0.25">
      <c r="E1609" t="str">
        <f>""</f>
        <v/>
      </c>
      <c r="F1609" t="str">
        <f>""</f>
        <v/>
      </c>
      <c r="G1609" s="4">
        <v>15.39</v>
      </c>
      <c r="H1609" t="str">
        <f t="shared" si="25"/>
        <v>GUARDIAN</v>
      </c>
    </row>
    <row r="1610" spans="5:8" x14ac:dyDescent="0.25">
      <c r="E1610" t="str">
        <f>""</f>
        <v/>
      </c>
      <c r="F1610" t="str">
        <f>""</f>
        <v/>
      </c>
      <c r="G1610" s="4">
        <v>15.39</v>
      </c>
      <c r="H1610" t="str">
        <f t="shared" si="25"/>
        <v>GUARDIAN</v>
      </c>
    </row>
    <row r="1611" spans="5:8" x14ac:dyDescent="0.25">
      <c r="E1611" t="str">
        <f>""</f>
        <v/>
      </c>
      <c r="F1611" t="str">
        <f>""</f>
        <v/>
      </c>
      <c r="G1611" s="4">
        <v>15.39</v>
      </c>
      <c r="H1611" t="str">
        <f t="shared" si="25"/>
        <v>GUARDIAN</v>
      </c>
    </row>
    <row r="1612" spans="5:8" x14ac:dyDescent="0.25">
      <c r="E1612" t="str">
        <f>""</f>
        <v/>
      </c>
      <c r="F1612" t="str">
        <f>""</f>
        <v/>
      </c>
      <c r="G1612" s="4">
        <v>30.78</v>
      </c>
      <c r="H1612" t="str">
        <f t="shared" si="25"/>
        <v>GUARDIAN</v>
      </c>
    </row>
    <row r="1613" spans="5:8" x14ac:dyDescent="0.25">
      <c r="E1613" t="str">
        <f>""</f>
        <v/>
      </c>
      <c r="F1613" t="str">
        <f>""</f>
        <v/>
      </c>
      <c r="G1613" s="4">
        <v>30.78</v>
      </c>
      <c r="H1613" t="str">
        <f t="shared" si="25"/>
        <v>GUARDIAN</v>
      </c>
    </row>
    <row r="1614" spans="5:8" x14ac:dyDescent="0.25">
      <c r="E1614" t="str">
        <f>""</f>
        <v/>
      </c>
      <c r="F1614" t="str">
        <f>""</f>
        <v/>
      </c>
      <c r="G1614" s="4">
        <v>30.78</v>
      </c>
      <c r="H1614" t="str">
        <f t="shared" si="25"/>
        <v>GUARDIAN</v>
      </c>
    </row>
    <row r="1615" spans="5:8" x14ac:dyDescent="0.25">
      <c r="E1615" t="str">
        <f>""</f>
        <v/>
      </c>
      <c r="F1615" t="str">
        <f>""</f>
        <v/>
      </c>
      <c r="G1615" s="4">
        <v>15.39</v>
      </c>
      <c r="H1615" t="str">
        <f t="shared" si="25"/>
        <v>GUARDIAN</v>
      </c>
    </row>
    <row r="1616" spans="5:8" x14ac:dyDescent="0.25">
      <c r="E1616" t="str">
        <f>""</f>
        <v/>
      </c>
      <c r="F1616" t="str">
        <f>""</f>
        <v/>
      </c>
      <c r="G1616" s="4">
        <v>15.39</v>
      </c>
      <c r="H1616" t="str">
        <f t="shared" si="25"/>
        <v>GUARDIAN</v>
      </c>
    </row>
    <row r="1617" spans="5:8" x14ac:dyDescent="0.25">
      <c r="E1617" t="str">
        <f>""</f>
        <v/>
      </c>
      <c r="F1617" t="str">
        <f>""</f>
        <v/>
      </c>
      <c r="G1617" s="4">
        <v>30.78</v>
      </c>
      <c r="H1617" t="str">
        <f t="shared" si="25"/>
        <v>GUARDIAN</v>
      </c>
    </row>
    <row r="1618" spans="5:8" x14ac:dyDescent="0.25">
      <c r="E1618" t="str">
        <f>""</f>
        <v/>
      </c>
      <c r="F1618" t="str">
        <f>""</f>
        <v/>
      </c>
      <c r="G1618" s="4">
        <v>46.17</v>
      </c>
      <c r="H1618" t="str">
        <f t="shared" si="25"/>
        <v>GUARDIAN</v>
      </c>
    </row>
    <row r="1619" spans="5:8" x14ac:dyDescent="0.25">
      <c r="E1619" t="str">
        <f>""</f>
        <v/>
      </c>
      <c r="F1619" t="str">
        <f>""</f>
        <v/>
      </c>
      <c r="G1619" s="4">
        <v>15.39</v>
      </c>
      <c r="H1619" t="str">
        <f t="shared" si="25"/>
        <v>GUARDIAN</v>
      </c>
    </row>
    <row r="1620" spans="5:8" x14ac:dyDescent="0.25">
      <c r="E1620" t="str">
        <f>""</f>
        <v/>
      </c>
      <c r="F1620" t="str">
        <f>""</f>
        <v/>
      </c>
      <c r="G1620" s="4">
        <v>170.86</v>
      </c>
      <c r="H1620" t="str">
        <f t="shared" si="25"/>
        <v>GUARDIAN</v>
      </c>
    </row>
    <row r="1621" spans="5:8" x14ac:dyDescent="0.25">
      <c r="E1621" t="str">
        <f>""</f>
        <v/>
      </c>
      <c r="F1621" t="str">
        <f>""</f>
        <v/>
      </c>
      <c r="G1621" s="4">
        <v>121.55</v>
      </c>
      <c r="H1621" t="str">
        <f t="shared" si="25"/>
        <v>GUARDIAN</v>
      </c>
    </row>
    <row r="1622" spans="5:8" x14ac:dyDescent="0.25">
      <c r="E1622" t="str">
        <f>""</f>
        <v/>
      </c>
      <c r="F1622" t="str">
        <f>""</f>
        <v/>
      </c>
      <c r="G1622" s="4">
        <v>15.39</v>
      </c>
      <c r="H1622" t="str">
        <f t="shared" si="25"/>
        <v>GUARDIAN</v>
      </c>
    </row>
    <row r="1623" spans="5:8" x14ac:dyDescent="0.25">
      <c r="E1623" t="str">
        <f>""</f>
        <v/>
      </c>
      <c r="F1623" t="str">
        <f>""</f>
        <v/>
      </c>
      <c r="G1623" s="4">
        <v>15.39</v>
      </c>
      <c r="H1623" t="str">
        <f t="shared" si="25"/>
        <v>GUARDIAN</v>
      </c>
    </row>
    <row r="1624" spans="5:8" x14ac:dyDescent="0.25">
      <c r="E1624" t="str">
        <f>""</f>
        <v/>
      </c>
      <c r="F1624" t="str">
        <f>""</f>
        <v/>
      </c>
      <c r="G1624" s="4">
        <v>15.39</v>
      </c>
      <c r="H1624" t="str">
        <f t="shared" si="25"/>
        <v>GUARDIAN</v>
      </c>
    </row>
    <row r="1625" spans="5:8" x14ac:dyDescent="0.25">
      <c r="E1625" t="str">
        <f>""</f>
        <v/>
      </c>
      <c r="F1625" t="str">
        <f>""</f>
        <v/>
      </c>
      <c r="G1625" s="4">
        <v>15.39</v>
      </c>
      <c r="H1625" t="str">
        <f t="shared" si="25"/>
        <v>GUARDIAN</v>
      </c>
    </row>
    <row r="1626" spans="5:8" x14ac:dyDescent="0.25">
      <c r="E1626" t="str">
        <f>""</f>
        <v/>
      </c>
      <c r="F1626" t="str">
        <f>""</f>
        <v/>
      </c>
      <c r="G1626" s="4">
        <v>15.39</v>
      </c>
      <c r="H1626" t="str">
        <f t="shared" si="25"/>
        <v>GUARDIAN</v>
      </c>
    </row>
    <row r="1627" spans="5:8" x14ac:dyDescent="0.25">
      <c r="E1627" t="str">
        <f>""</f>
        <v/>
      </c>
      <c r="F1627" t="str">
        <f>""</f>
        <v/>
      </c>
      <c r="G1627" s="4">
        <v>1775.82</v>
      </c>
      <c r="H1627" t="str">
        <f t="shared" si="25"/>
        <v>GUARDIAN</v>
      </c>
    </row>
    <row r="1628" spans="5:8" x14ac:dyDescent="0.25">
      <c r="E1628" t="str">
        <f>"GDF202112177864"</f>
        <v>GDF202112177864</v>
      </c>
      <c r="F1628" t="str">
        <f>"GUARDIAN"</f>
        <v>GUARDIAN</v>
      </c>
      <c r="G1628" s="4">
        <v>30.78</v>
      </c>
      <c r="H1628" t="str">
        <f t="shared" si="25"/>
        <v>GUARDIAN</v>
      </c>
    </row>
    <row r="1629" spans="5:8" x14ac:dyDescent="0.25">
      <c r="E1629" t="str">
        <f>""</f>
        <v/>
      </c>
      <c r="F1629" t="str">
        <f>""</f>
        <v/>
      </c>
      <c r="G1629" s="4">
        <v>69.64</v>
      </c>
      <c r="H1629" t="str">
        <f t="shared" si="25"/>
        <v>GUARDIAN</v>
      </c>
    </row>
    <row r="1630" spans="5:8" x14ac:dyDescent="0.25">
      <c r="E1630" t="str">
        <f>"GDS202112077701"</f>
        <v>GDS202112077701</v>
      </c>
      <c r="F1630" t="str">
        <f>"GUARDIAN"</f>
        <v>GUARDIAN</v>
      </c>
      <c r="G1630" s="4">
        <v>15.39</v>
      </c>
      <c r="H1630" t="str">
        <f t="shared" si="25"/>
        <v>GUARDIAN</v>
      </c>
    </row>
    <row r="1631" spans="5:8" x14ac:dyDescent="0.25">
      <c r="E1631" t="str">
        <f>""</f>
        <v/>
      </c>
      <c r="F1631" t="str">
        <f>""</f>
        <v/>
      </c>
      <c r="G1631" s="4">
        <v>6.69</v>
      </c>
      <c r="H1631" t="str">
        <f t="shared" si="25"/>
        <v>GUARDIAN</v>
      </c>
    </row>
    <row r="1632" spans="5:8" x14ac:dyDescent="0.25">
      <c r="E1632" t="str">
        <f>""</f>
        <v/>
      </c>
      <c r="F1632" t="str">
        <f>""</f>
        <v/>
      </c>
      <c r="G1632" s="4">
        <v>15.39</v>
      </c>
      <c r="H1632" t="str">
        <f t="shared" si="25"/>
        <v>GUARDIAN</v>
      </c>
    </row>
    <row r="1633" spans="5:8" x14ac:dyDescent="0.25">
      <c r="E1633" t="str">
        <f>""</f>
        <v/>
      </c>
      <c r="F1633" t="str">
        <f>""</f>
        <v/>
      </c>
      <c r="G1633" s="4">
        <v>30.78</v>
      </c>
      <c r="H1633" t="str">
        <f t="shared" si="25"/>
        <v>GUARDIAN</v>
      </c>
    </row>
    <row r="1634" spans="5:8" x14ac:dyDescent="0.25">
      <c r="E1634" t="str">
        <f>""</f>
        <v/>
      </c>
      <c r="F1634" t="str">
        <f>""</f>
        <v/>
      </c>
      <c r="G1634" s="4">
        <v>15.39</v>
      </c>
      <c r="H1634" t="str">
        <f t="shared" si="25"/>
        <v>GUARDIAN</v>
      </c>
    </row>
    <row r="1635" spans="5:8" x14ac:dyDescent="0.25">
      <c r="E1635" t="str">
        <f>""</f>
        <v/>
      </c>
      <c r="F1635" t="str">
        <f>""</f>
        <v/>
      </c>
      <c r="G1635" s="4">
        <v>76.95</v>
      </c>
      <c r="H1635" t="str">
        <f t="shared" si="25"/>
        <v>GUARDIAN</v>
      </c>
    </row>
    <row r="1636" spans="5:8" x14ac:dyDescent="0.25">
      <c r="E1636" t="str">
        <f>""</f>
        <v/>
      </c>
      <c r="F1636" t="str">
        <f>""</f>
        <v/>
      </c>
      <c r="G1636" s="4">
        <v>15.39</v>
      </c>
      <c r="H1636" t="str">
        <f t="shared" si="25"/>
        <v>GUARDIAN</v>
      </c>
    </row>
    <row r="1637" spans="5:8" x14ac:dyDescent="0.25">
      <c r="E1637" t="str">
        <f>""</f>
        <v/>
      </c>
      <c r="F1637" t="str">
        <f>""</f>
        <v/>
      </c>
      <c r="G1637" s="4">
        <v>30.01</v>
      </c>
      <c r="H1637" t="str">
        <f t="shared" si="25"/>
        <v>GUARDIAN</v>
      </c>
    </row>
    <row r="1638" spans="5:8" x14ac:dyDescent="0.25">
      <c r="E1638" t="str">
        <f>""</f>
        <v/>
      </c>
      <c r="F1638" t="str">
        <f>""</f>
        <v/>
      </c>
      <c r="G1638" s="4">
        <v>30.78</v>
      </c>
      <c r="H1638" t="str">
        <f t="shared" si="25"/>
        <v>GUARDIAN</v>
      </c>
    </row>
    <row r="1639" spans="5:8" x14ac:dyDescent="0.25">
      <c r="E1639" t="str">
        <f>""</f>
        <v/>
      </c>
      <c r="F1639" t="str">
        <f>""</f>
        <v/>
      </c>
      <c r="G1639" s="4">
        <v>30.78</v>
      </c>
      <c r="H1639" t="str">
        <f t="shared" si="25"/>
        <v>GUARDIAN</v>
      </c>
    </row>
    <row r="1640" spans="5:8" x14ac:dyDescent="0.25">
      <c r="E1640" t="str">
        <f>""</f>
        <v/>
      </c>
      <c r="F1640" t="str">
        <f>""</f>
        <v/>
      </c>
      <c r="G1640" s="4">
        <v>46.17</v>
      </c>
      <c r="H1640" t="str">
        <f t="shared" si="25"/>
        <v>GUARDIAN</v>
      </c>
    </row>
    <row r="1641" spans="5:8" x14ac:dyDescent="0.25">
      <c r="E1641" t="str">
        <f>""</f>
        <v/>
      </c>
      <c r="F1641" t="str">
        <f>""</f>
        <v/>
      </c>
      <c r="G1641" s="4">
        <v>46.17</v>
      </c>
      <c r="H1641" t="str">
        <f t="shared" si="25"/>
        <v>GUARDIAN</v>
      </c>
    </row>
    <row r="1642" spans="5:8" x14ac:dyDescent="0.25">
      <c r="E1642" t="str">
        <f>""</f>
        <v/>
      </c>
      <c r="F1642" t="str">
        <f>""</f>
        <v/>
      </c>
      <c r="G1642" s="4">
        <v>30.78</v>
      </c>
      <c r="H1642" t="str">
        <f t="shared" si="25"/>
        <v>GUARDIAN</v>
      </c>
    </row>
    <row r="1643" spans="5:8" x14ac:dyDescent="0.25">
      <c r="E1643" t="str">
        <f>""</f>
        <v/>
      </c>
      <c r="F1643" t="str">
        <f>""</f>
        <v/>
      </c>
      <c r="G1643" s="4">
        <v>30.78</v>
      </c>
      <c r="H1643" t="str">
        <f t="shared" si="25"/>
        <v>GUARDIAN</v>
      </c>
    </row>
    <row r="1644" spans="5:8" x14ac:dyDescent="0.25">
      <c r="E1644" t="str">
        <f>""</f>
        <v/>
      </c>
      <c r="F1644" t="str">
        <f>""</f>
        <v/>
      </c>
      <c r="G1644" s="4">
        <v>15.39</v>
      </c>
      <c r="H1644" t="str">
        <f t="shared" si="25"/>
        <v>GUARDIAN</v>
      </c>
    </row>
    <row r="1645" spans="5:8" x14ac:dyDescent="0.25">
      <c r="E1645" t="str">
        <f>""</f>
        <v/>
      </c>
      <c r="F1645" t="str">
        <f>""</f>
        <v/>
      </c>
      <c r="G1645" s="4">
        <v>124.22</v>
      </c>
      <c r="H1645" t="str">
        <f t="shared" si="25"/>
        <v>GUARDIAN</v>
      </c>
    </row>
    <row r="1646" spans="5:8" x14ac:dyDescent="0.25">
      <c r="E1646" t="str">
        <f>""</f>
        <v/>
      </c>
      <c r="F1646" t="str">
        <f>""</f>
        <v/>
      </c>
      <c r="G1646" s="4">
        <v>91.24</v>
      </c>
      <c r="H1646" t="str">
        <f t="shared" si="25"/>
        <v>GUARDIAN</v>
      </c>
    </row>
    <row r="1647" spans="5:8" x14ac:dyDescent="0.25">
      <c r="E1647" t="str">
        <f>""</f>
        <v/>
      </c>
      <c r="F1647" t="str">
        <f>""</f>
        <v/>
      </c>
      <c r="G1647" s="4">
        <v>15.39</v>
      </c>
      <c r="H1647" t="str">
        <f t="shared" si="25"/>
        <v>GUARDIAN</v>
      </c>
    </row>
    <row r="1648" spans="5:8" x14ac:dyDescent="0.25">
      <c r="E1648" t="str">
        <f>""</f>
        <v/>
      </c>
      <c r="F1648" t="str">
        <f>""</f>
        <v/>
      </c>
      <c r="G1648" s="4">
        <v>3.94</v>
      </c>
      <c r="H1648" t="str">
        <f t="shared" si="25"/>
        <v>GUARDIAN</v>
      </c>
    </row>
    <row r="1649" spans="5:8" x14ac:dyDescent="0.25">
      <c r="E1649" t="str">
        <f>""</f>
        <v/>
      </c>
      <c r="F1649" t="str">
        <f>""</f>
        <v/>
      </c>
      <c r="G1649" s="4">
        <v>15.39</v>
      </c>
      <c r="H1649" t="str">
        <f t="shared" si="25"/>
        <v>GUARDIAN</v>
      </c>
    </row>
    <row r="1650" spans="5:8" x14ac:dyDescent="0.25">
      <c r="E1650" t="str">
        <f>""</f>
        <v/>
      </c>
      <c r="F1650" t="str">
        <f>""</f>
        <v/>
      </c>
      <c r="G1650" s="4">
        <v>15.39</v>
      </c>
      <c r="H1650" t="str">
        <f t="shared" si="25"/>
        <v>GUARDIAN</v>
      </c>
    </row>
    <row r="1651" spans="5:8" x14ac:dyDescent="0.25">
      <c r="E1651" t="str">
        <f>""</f>
        <v/>
      </c>
      <c r="F1651" t="str">
        <f>""</f>
        <v/>
      </c>
      <c r="G1651" s="4">
        <v>85.65</v>
      </c>
      <c r="H1651" t="str">
        <f t="shared" si="25"/>
        <v>GUARDIAN</v>
      </c>
    </row>
    <row r="1652" spans="5:8" x14ac:dyDescent="0.25">
      <c r="E1652" t="str">
        <f>""</f>
        <v/>
      </c>
      <c r="F1652" t="str">
        <f>""</f>
        <v/>
      </c>
      <c r="G1652" s="4">
        <v>61.56</v>
      </c>
      <c r="H1652" t="str">
        <f t="shared" si="25"/>
        <v>GUARDIAN</v>
      </c>
    </row>
    <row r="1653" spans="5:8" x14ac:dyDescent="0.25">
      <c r="E1653" t="str">
        <f>""</f>
        <v/>
      </c>
      <c r="F1653" t="str">
        <f>""</f>
        <v/>
      </c>
      <c r="G1653" s="4">
        <v>30.78</v>
      </c>
      <c r="H1653" t="str">
        <f t="shared" si="25"/>
        <v>GUARDIAN</v>
      </c>
    </row>
    <row r="1654" spans="5:8" x14ac:dyDescent="0.25">
      <c r="E1654" t="str">
        <f>""</f>
        <v/>
      </c>
      <c r="F1654" t="str">
        <f>""</f>
        <v/>
      </c>
      <c r="G1654" s="4">
        <v>61.56</v>
      </c>
      <c r="H1654" t="str">
        <f t="shared" si="25"/>
        <v>GUARDIAN</v>
      </c>
    </row>
    <row r="1655" spans="5:8" x14ac:dyDescent="0.25">
      <c r="E1655" t="str">
        <f>""</f>
        <v/>
      </c>
      <c r="F1655" t="str">
        <f>""</f>
        <v/>
      </c>
      <c r="G1655" s="4">
        <v>26.84</v>
      </c>
      <c r="H1655" t="str">
        <f t="shared" si="25"/>
        <v>GUARDIAN</v>
      </c>
    </row>
    <row r="1656" spans="5:8" x14ac:dyDescent="0.25">
      <c r="E1656" t="str">
        <f>""</f>
        <v/>
      </c>
      <c r="F1656" t="str">
        <f>""</f>
        <v/>
      </c>
      <c r="G1656" s="4">
        <v>0.77</v>
      </c>
      <c r="H1656" t="str">
        <f t="shared" si="25"/>
        <v>GUARDIAN</v>
      </c>
    </row>
    <row r="1657" spans="5:8" x14ac:dyDescent="0.25">
      <c r="E1657" t="str">
        <f>""</f>
        <v/>
      </c>
      <c r="F1657" t="str">
        <f>""</f>
        <v/>
      </c>
      <c r="G1657" s="4">
        <v>984.69</v>
      </c>
      <c r="H1657" t="str">
        <f t="shared" si="25"/>
        <v>GUARDIAN</v>
      </c>
    </row>
    <row r="1658" spans="5:8" x14ac:dyDescent="0.25">
      <c r="E1658" t="str">
        <f>"GDS202112077702"</f>
        <v>GDS202112077702</v>
      </c>
      <c r="F1658" t="str">
        <f>"GUARDIAN"</f>
        <v>GUARDIAN</v>
      </c>
      <c r="G1658" s="4">
        <v>15.39</v>
      </c>
      <c r="H1658" t="str">
        <f t="shared" si="25"/>
        <v>GUARDIAN</v>
      </c>
    </row>
    <row r="1659" spans="5:8" x14ac:dyDescent="0.25">
      <c r="E1659" t="str">
        <f>""</f>
        <v/>
      </c>
      <c r="F1659" t="str">
        <f>""</f>
        <v/>
      </c>
      <c r="G1659" s="4">
        <v>15.63</v>
      </c>
      <c r="H1659" t="str">
        <f t="shared" si="25"/>
        <v>GUARDIAN</v>
      </c>
    </row>
    <row r="1660" spans="5:8" x14ac:dyDescent="0.25">
      <c r="E1660" t="str">
        <f>"GDS202112177863"</f>
        <v>GDS202112177863</v>
      </c>
      <c r="F1660" t="str">
        <f>"GUARDIAN"</f>
        <v>GUARDIAN</v>
      </c>
      <c r="G1660" s="4">
        <v>15.39</v>
      </c>
      <c r="H1660" t="str">
        <f t="shared" si="25"/>
        <v>GUARDIAN</v>
      </c>
    </row>
    <row r="1661" spans="5:8" x14ac:dyDescent="0.25">
      <c r="E1661" t="str">
        <f>""</f>
        <v/>
      </c>
      <c r="F1661" t="str">
        <f>""</f>
        <v/>
      </c>
      <c r="G1661" s="4">
        <v>6.69</v>
      </c>
      <c r="H1661" t="str">
        <f t="shared" si="25"/>
        <v>GUARDIAN</v>
      </c>
    </row>
    <row r="1662" spans="5:8" x14ac:dyDescent="0.25">
      <c r="E1662" t="str">
        <f>""</f>
        <v/>
      </c>
      <c r="F1662" t="str">
        <f>""</f>
        <v/>
      </c>
      <c r="G1662" s="4">
        <v>15.39</v>
      </c>
      <c r="H1662" t="str">
        <f t="shared" si="25"/>
        <v>GUARDIAN</v>
      </c>
    </row>
    <row r="1663" spans="5:8" x14ac:dyDescent="0.25">
      <c r="E1663" t="str">
        <f>""</f>
        <v/>
      </c>
      <c r="F1663" t="str">
        <f>""</f>
        <v/>
      </c>
      <c r="G1663" s="4">
        <v>30.78</v>
      </c>
      <c r="H1663" t="str">
        <f t="shared" si="25"/>
        <v>GUARDIAN</v>
      </c>
    </row>
    <row r="1664" spans="5:8" x14ac:dyDescent="0.25">
      <c r="E1664" t="str">
        <f>""</f>
        <v/>
      </c>
      <c r="F1664" t="str">
        <f>""</f>
        <v/>
      </c>
      <c r="G1664" s="4">
        <v>15.39</v>
      </c>
      <c r="H1664" t="str">
        <f t="shared" ref="H1664:H1689" si="26">"GUARDIAN"</f>
        <v>GUARDIAN</v>
      </c>
    </row>
    <row r="1665" spans="5:8" x14ac:dyDescent="0.25">
      <c r="E1665" t="str">
        <f>""</f>
        <v/>
      </c>
      <c r="F1665" t="str">
        <f>""</f>
        <v/>
      </c>
      <c r="G1665" s="4">
        <v>76.95</v>
      </c>
      <c r="H1665" t="str">
        <f t="shared" si="26"/>
        <v>GUARDIAN</v>
      </c>
    </row>
    <row r="1666" spans="5:8" x14ac:dyDescent="0.25">
      <c r="E1666" t="str">
        <f>""</f>
        <v/>
      </c>
      <c r="F1666" t="str">
        <f>""</f>
        <v/>
      </c>
      <c r="G1666" s="4">
        <v>15.39</v>
      </c>
      <c r="H1666" t="str">
        <f t="shared" si="26"/>
        <v>GUARDIAN</v>
      </c>
    </row>
    <row r="1667" spans="5:8" x14ac:dyDescent="0.25">
      <c r="E1667" t="str">
        <f>""</f>
        <v/>
      </c>
      <c r="F1667" t="str">
        <f>""</f>
        <v/>
      </c>
      <c r="G1667" s="4">
        <v>30.01</v>
      </c>
      <c r="H1667" t="str">
        <f t="shared" si="26"/>
        <v>GUARDIAN</v>
      </c>
    </row>
    <row r="1668" spans="5:8" x14ac:dyDescent="0.25">
      <c r="E1668" t="str">
        <f>""</f>
        <v/>
      </c>
      <c r="F1668" t="str">
        <f>""</f>
        <v/>
      </c>
      <c r="G1668" s="4">
        <v>30.78</v>
      </c>
      <c r="H1668" t="str">
        <f t="shared" si="26"/>
        <v>GUARDIAN</v>
      </c>
    </row>
    <row r="1669" spans="5:8" x14ac:dyDescent="0.25">
      <c r="E1669" t="str">
        <f>""</f>
        <v/>
      </c>
      <c r="F1669" t="str">
        <f>""</f>
        <v/>
      </c>
      <c r="G1669" s="4">
        <v>30.78</v>
      </c>
      <c r="H1669" t="str">
        <f t="shared" si="26"/>
        <v>GUARDIAN</v>
      </c>
    </row>
    <row r="1670" spans="5:8" x14ac:dyDescent="0.25">
      <c r="E1670" t="str">
        <f>""</f>
        <v/>
      </c>
      <c r="F1670" t="str">
        <f>""</f>
        <v/>
      </c>
      <c r="G1670" s="4">
        <v>46.17</v>
      </c>
      <c r="H1670" t="str">
        <f t="shared" si="26"/>
        <v>GUARDIAN</v>
      </c>
    </row>
    <row r="1671" spans="5:8" x14ac:dyDescent="0.25">
      <c r="E1671" t="str">
        <f>""</f>
        <v/>
      </c>
      <c r="F1671" t="str">
        <f>""</f>
        <v/>
      </c>
      <c r="G1671" s="4">
        <v>46.17</v>
      </c>
      <c r="H1671" t="str">
        <f t="shared" si="26"/>
        <v>GUARDIAN</v>
      </c>
    </row>
    <row r="1672" spans="5:8" x14ac:dyDescent="0.25">
      <c r="E1672" t="str">
        <f>""</f>
        <v/>
      </c>
      <c r="F1672" t="str">
        <f>""</f>
        <v/>
      </c>
      <c r="G1672" s="4">
        <v>30.78</v>
      </c>
      <c r="H1672" t="str">
        <f t="shared" si="26"/>
        <v>GUARDIAN</v>
      </c>
    </row>
    <row r="1673" spans="5:8" x14ac:dyDescent="0.25">
      <c r="E1673" t="str">
        <f>""</f>
        <v/>
      </c>
      <c r="F1673" t="str">
        <f>""</f>
        <v/>
      </c>
      <c r="G1673" s="4">
        <v>30.78</v>
      </c>
      <c r="H1673" t="str">
        <f t="shared" si="26"/>
        <v>GUARDIAN</v>
      </c>
    </row>
    <row r="1674" spans="5:8" x14ac:dyDescent="0.25">
      <c r="E1674" t="str">
        <f>""</f>
        <v/>
      </c>
      <c r="F1674" t="str">
        <f>""</f>
        <v/>
      </c>
      <c r="G1674" s="4">
        <v>15.39</v>
      </c>
      <c r="H1674" t="str">
        <f t="shared" si="26"/>
        <v>GUARDIAN</v>
      </c>
    </row>
    <row r="1675" spans="5:8" x14ac:dyDescent="0.25">
      <c r="E1675" t="str">
        <f>""</f>
        <v/>
      </c>
      <c r="F1675" t="str">
        <f>""</f>
        <v/>
      </c>
      <c r="G1675" s="4">
        <v>124.22</v>
      </c>
      <c r="H1675" t="str">
        <f t="shared" si="26"/>
        <v>GUARDIAN</v>
      </c>
    </row>
    <row r="1676" spans="5:8" x14ac:dyDescent="0.25">
      <c r="E1676" t="str">
        <f>""</f>
        <v/>
      </c>
      <c r="F1676" t="str">
        <f>""</f>
        <v/>
      </c>
      <c r="G1676" s="4">
        <v>91.24</v>
      </c>
      <c r="H1676" t="str">
        <f t="shared" si="26"/>
        <v>GUARDIAN</v>
      </c>
    </row>
    <row r="1677" spans="5:8" x14ac:dyDescent="0.25">
      <c r="E1677" t="str">
        <f>""</f>
        <v/>
      </c>
      <c r="F1677" t="str">
        <f>""</f>
        <v/>
      </c>
      <c r="G1677" s="4">
        <v>15.39</v>
      </c>
      <c r="H1677" t="str">
        <f t="shared" si="26"/>
        <v>GUARDIAN</v>
      </c>
    </row>
    <row r="1678" spans="5:8" x14ac:dyDescent="0.25">
      <c r="E1678" t="str">
        <f>""</f>
        <v/>
      </c>
      <c r="F1678" t="str">
        <f>""</f>
        <v/>
      </c>
      <c r="G1678" s="4">
        <v>3.94</v>
      </c>
      <c r="H1678" t="str">
        <f t="shared" si="26"/>
        <v>GUARDIAN</v>
      </c>
    </row>
    <row r="1679" spans="5:8" x14ac:dyDescent="0.25">
      <c r="E1679" t="str">
        <f>""</f>
        <v/>
      </c>
      <c r="F1679" t="str">
        <f>""</f>
        <v/>
      </c>
      <c r="G1679" s="4">
        <v>15.39</v>
      </c>
      <c r="H1679" t="str">
        <f t="shared" si="26"/>
        <v>GUARDIAN</v>
      </c>
    </row>
    <row r="1680" spans="5:8" x14ac:dyDescent="0.25">
      <c r="E1680" t="str">
        <f>""</f>
        <v/>
      </c>
      <c r="F1680" t="str">
        <f>""</f>
        <v/>
      </c>
      <c r="G1680" s="4">
        <v>15.39</v>
      </c>
      <c r="H1680" t="str">
        <f t="shared" si="26"/>
        <v>GUARDIAN</v>
      </c>
    </row>
    <row r="1681" spans="5:8" x14ac:dyDescent="0.25">
      <c r="E1681" t="str">
        <f>""</f>
        <v/>
      </c>
      <c r="F1681" t="str">
        <f>""</f>
        <v/>
      </c>
      <c r="G1681" s="4">
        <v>85.65</v>
      </c>
      <c r="H1681" t="str">
        <f t="shared" si="26"/>
        <v>GUARDIAN</v>
      </c>
    </row>
    <row r="1682" spans="5:8" x14ac:dyDescent="0.25">
      <c r="E1682" t="str">
        <f>""</f>
        <v/>
      </c>
      <c r="F1682" t="str">
        <f>""</f>
        <v/>
      </c>
      <c r="G1682" s="4">
        <v>61.56</v>
      </c>
      <c r="H1682" t="str">
        <f t="shared" si="26"/>
        <v>GUARDIAN</v>
      </c>
    </row>
    <row r="1683" spans="5:8" x14ac:dyDescent="0.25">
      <c r="E1683" t="str">
        <f>""</f>
        <v/>
      </c>
      <c r="F1683" t="str">
        <f>""</f>
        <v/>
      </c>
      <c r="G1683" s="4">
        <v>30.78</v>
      </c>
      <c r="H1683" t="str">
        <f t="shared" si="26"/>
        <v>GUARDIAN</v>
      </c>
    </row>
    <row r="1684" spans="5:8" x14ac:dyDescent="0.25">
      <c r="E1684" t="str">
        <f>""</f>
        <v/>
      </c>
      <c r="F1684" t="str">
        <f>""</f>
        <v/>
      </c>
      <c r="G1684" s="4">
        <v>61.56</v>
      </c>
      <c r="H1684" t="str">
        <f t="shared" si="26"/>
        <v>GUARDIAN</v>
      </c>
    </row>
    <row r="1685" spans="5:8" x14ac:dyDescent="0.25">
      <c r="E1685" t="str">
        <f>""</f>
        <v/>
      </c>
      <c r="F1685" t="str">
        <f>""</f>
        <v/>
      </c>
      <c r="G1685" s="4">
        <v>26.84</v>
      </c>
      <c r="H1685" t="str">
        <f t="shared" si="26"/>
        <v>GUARDIAN</v>
      </c>
    </row>
    <row r="1686" spans="5:8" x14ac:dyDescent="0.25">
      <c r="E1686" t="str">
        <f>""</f>
        <v/>
      </c>
      <c r="F1686" t="str">
        <f>""</f>
        <v/>
      </c>
      <c r="G1686" s="4">
        <v>0.77</v>
      </c>
      <c r="H1686" t="str">
        <f t="shared" si="26"/>
        <v>GUARDIAN</v>
      </c>
    </row>
    <row r="1687" spans="5:8" x14ac:dyDescent="0.25">
      <c r="E1687" t="str">
        <f>""</f>
        <v/>
      </c>
      <c r="F1687" t="str">
        <f>""</f>
        <v/>
      </c>
      <c r="G1687" s="4">
        <v>984.69</v>
      </c>
      <c r="H1687" t="str">
        <f t="shared" si="26"/>
        <v>GUARDIAN</v>
      </c>
    </row>
    <row r="1688" spans="5:8" x14ac:dyDescent="0.25">
      <c r="E1688" t="str">
        <f>"GDS202112177864"</f>
        <v>GDS202112177864</v>
      </c>
      <c r="F1688" t="str">
        <f>"GUARDIAN"</f>
        <v>GUARDIAN</v>
      </c>
      <c r="G1688" s="4">
        <v>15.39</v>
      </c>
      <c r="H1688" t="str">
        <f t="shared" si="26"/>
        <v>GUARDIAN</v>
      </c>
    </row>
    <row r="1689" spans="5:8" x14ac:dyDescent="0.25">
      <c r="E1689" t="str">
        <f>""</f>
        <v/>
      </c>
      <c r="F1689" t="str">
        <f>""</f>
        <v/>
      </c>
      <c r="G1689" s="4">
        <v>15.63</v>
      </c>
      <c r="H1689" t="str">
        <f t="shared" si="26"/>
        <v>GUARDIAN</v>
      </c>
    </row>
    <row r="1690" spans="5:8" x14ac:dyDescent="0.25">
      <c r="E1690" t="str">
        <f>"GV1202112077701"</f>
        <v>GV1202112077701</v>
      </c>
      <c r="F1690" t="str">
        <f>"GUARDIAN VISION"</f>
        <v>GUARDIAN VISION</v>
      </c>
      <c r="G1690" s="4">
        <v>459.2</v>
      </c>
      <c r="H1690" t="str">
        <f>"GUARDIAN VISION"</f>
        <v>GUARDIAN VISION</v>
      </c>
    </row>
    <row r="1691" spans="5:8" x14ac:dyDescent="0.25">
      <c r="E1691" t="str">
        <f>"GV1202112077702"</f>
        <v>GV1202112077702</v>
      </c>
      <c r="F1691" t="str">
        <f>"GUARDIAN VISION"</f>
        <v>GUARDIAN VISION</v>
      </c>
      <c r="G1691" s="4">
        <v>5.6</v>
      </c>
      <c r="H1691" t="str">
        <f>"GUARDIAN VISION"</f>
        <v>GUARDIAN VISION</v>
      </c>
    </row>
    <row r="1692" spans="5:8" x14ac:dyDescent="0.25">
      <c r="E1692" t="str">
        <f>"GV1202112177863"</f>
        <v>GV1202112177863</v>
      </c>
      <c r="F1692" t="str">
        <f>"GUARDIAN VISION"</f>
        <v>GUARDIAN VISION</v>
      </c>
      <c r="G1692" s="4">
        <v>448.01</v>
      </c>
      <c r="H1692" t="str">
        <f>"GUARDIAN VISION"</f>
        <v>GUARDIAN VISION</v>
      </c>
    </row>
    <row r="1693" spans="5:8" x14ac:dyDescent="0.25">
      <c r="E1693" t="str">
        <f>"GV1202112177864"</f>
        <v>GV1202112177864</v>
      </c>
      <c r="F1693" t="str">
        <f>"GUARDIAN VISION"</f>
        <v>GUARDIAN VISION</v>
      </c>
      <c r="G1693" s="4">
        <v>5.6</v>
      </c>
      <c r="H1693" t="str">
        <f>"GUARDIAN VISION"</f>
        <v>GUARDIAN VISION</v>
      </c>
    </row>
    <row r="1694" spans="5:8" x14ac:dyDescent="0.25">
      <c r="E1694" t="str">
        <f>"GVE202112077701"</f>
        <v>GVE202112077701</v>
      </c>
      <c r="F1694" t="str">
        <f>"GUARDIAN VISION VENDOR"</f>
        <v>GUARDIAN VISION VENDOR</v>
      </c>
      <c r="G1694" s="4">
        <v>619.91999999999996</v>
      </c>
      <c r="H1694" t="str">
        <f>"GUARDIAN VISION VENDOR"</f>
        <v>GUARDIAN VISION VENDOR</v>
      </c>
    </row>
    <row r="1695" spans="5:8" x14ac:dyDescent="0.25">
      <c r="E1695" t="str">
        <f>"GVE202112077702"</f>
        <v>GVE202112077702</v>
      </c>
      <c r="F1695" t="str">
        <f>"GUARDIAN VISION VENDOR"</f>
        <v>GUARDIAN VISION VENDOR</v>
      </c>
      <c r="G1695" s="4">
        <v>33.21</v>
      </c>
      <c r="H1695" t="str">
        <f>"GUARDIAN VISION VENDOR"</f>
        <v>GUARDIAN VISION VENDOR</v>
      </c>
    </row>
    <row r="1696" spans="5:8" x14ac:dyDescent="0.25">
      <c r="E1696" t="str">
        <f>"GVE202112177863"</f>
        <v>GVE202112177863</v>
      </c>
      <c r="F1696" t="str">
        <f>"GUARDIAN VISION VENDOR"</f>
        <v>GUARDIAN VISION VENDOR</v>
      </c>
      <c r="G1696" s="4">
        <v>619.91999999999996</v>
      </c>
      <c r="H1696" t="str">
        <f>"GUARDIAN VISION VENDOR"</f>
        <v>GUARDIAN VISION VENDOR</v>
      </c>
    </row>
    <row r="1697" spans="5:8" x14ac:dyDescent="0.25">
      <c r="E1697" t="str">
        <f>"GVE202112177864"</f>
        <v>GVE202112177864</v>
      </c>
      <c r="F1697" t="str">
        <f>"GUARDIAN VISION VENDOR"</f>
        <v>GUARDIAN VISION VENDOR</v>
      </c>
      <c r="G1697" s="4">
        <v>29.52</v>
      </c>
      <c r="H1697" t="str">
        <f>"GUARDIAN VISION VENDOR"</f>
        <v>GUARDIAN VISION VENDOR</v>
      </c>
    </row>
    <row r="1698" spans="5:8" x14ac:dyDescent="0.25">
      <c r="E1698" t="str">
        <f>"GVF202112077701"</f>
        <v>GVF202112077701</v>
      </c>
      <c r="F1698" t="str">
        <f>"GUARDIAN VISION"</f>
        <v>GUARDIAN VISION</v>
      </c>
      <c r="G1698" s="4">
        <v>581.15</v>
      </c>
      <c r="H1698" t="str">
        <f>"GUARDIAN VISION"</f>
        <v>GUARDIAN VISION</v>
      </c>
    </row>
    <row r="1699" spans="5:8" x14ac:dyDescent="0.25">
      <c r="E1699" t="str">
        <f>"GVF202112077702"</f>
        <v>GVF202112077702</v>
      </c>
      <c r="F1699" t="str">
        <f>"GUARDIAN VISION VENDOR"</f>
        <v>GUARDIAN VISION VENDOR</v>
      </c>
      <c r="G1699" s="4">
        <v>29.55</v>
      </c>
      <c r="H1699" t="str">
        <f>"GUARDIAN VISION VENDOR"</f>
        <v>GUARDIAN VISION VENDOR</v>
      </c>
    </row>
    <row r="1700" spans="5:8" x14ac:dyDescent="0.25">
      <c r="E1700" t="str">
        <f>"GVF202112177863"</f>
        <v>GVF202112177863</v>
      </c>
      <c r="F1700" t="str">
        <f>"GUARDIAN VISION"</f>
        <v>GUARDIAN VISION</v>
      </c>
      <c r="G1700" s="4">
        <v>593.47</v>
      </c>
      <c r="H1700" t="str">
        <f>"GUARDIAN VISION"</f>
        <v>GUARDIAN VISION</v>
      </c>
    </row>
    <row r="1701" spans="5:8" x14ac:dyDescent="0.25">
      <c r="E1701" t="str">
        <f>"GVF202112177864"</f>
        <v>GVF202112177864</v>
      </c>
      <c r="F1701" t="str">
        <f>"GUARDIAN VISION VENDOR"</f>
        <v>GUARDIAN VISION VENDOR</v>
      </c>
      <c r="G1701" s="4">
        <v>29.55</v>
      </c>
      <c r="H1701" t="str">
        <f>"GUARDIAN VISION VENDOR"</f>
        <v>GUARDIAN VISION VENDOR</v>
      </c>
    </row>
    <row r="1702" spans="5:8" x14ac:dyDescent="0.25">
      <c r="E1702" t="str">
        <f>"LIA202112077701"</f>
        <v>LIA202112077701</v>
      </c>
      <c r="F1702" t="str">
        <f>"GUARDIAN"</f>
        <v>GUARDIAN</v>
      </c>
      <c r="G1702" s="4">
        <v>0.86</v>
      </c>
      <c r="H1702" t="str">
        <f t="shared" ref="H1702:H1733" si="27">"GUARDIAN"</f>
        <v>GUARDIAN</v>
      </c>
    </row>
    <row r="1703" spans="5:8" x14ac:dyDescent="0.25">
      <c r="E1703" t="str">
        <f>""</f>
        <v/>
      </c>
      <c r="F1703" t="str">
        <f>""</f>
        <v/>
      </c>
      <c r="G1703" s="4">
        <v>0.74</v>
      </c>
      <c r="H1703" t="str">
        <f t="shared" si="27"/>
        <v>GUARDIAN</v>
      </c>
    </row>
    <row r="1704" spans="5:8" x14ac:dyDescent="0.25">
      <c r="E1704" t="str">
        <f>""</f>
        <v/>
      </c>
      <c r="F1704" t="str">
        <f>""</f>
        <v/>
      </c>
      <c r="G1704" s="4">
        <v>1.4</v>
      </c>
      <c r="H1704" t="str">
        <f t="shared" si="27"/>
        <v>GUARDIAN</v>
      </c>
    </row>
    <row r="1705" spans="5:8" x14ac:dyDescent="0.25">
      <c r="E1705" t="str">
        <f>""</f>
        <v/>
      </c>
      <c r="F1705" t="str">
        <f>""</f>
        <v/>
      </c>
      <c r="G1705" s="4">
        <v>1.4</v>
      </c>
      <c r="H1705" t="str">
        <f t="shared" si="27"/>
        <v>GUARDIAN</v>
      </c>
    </row>
    <row r="1706" spans="5:8" x14ac:dyDescent="0.25">
      <c r="E1706" t="str">
        <f>""</f>
        <v/>
      </c>
      <c r="F1706" t="str">
        <f>""</f>
        <v/>
      </c>
      <c r="G1706" s="4">
        <v>6.46</v>
      </c>
      <c r="H1706" t="str">
        <f t="shared" si="27"/>
        <v>GUARDIAN</v>
      </c>
    </row>
    <row r="1707" spans="5:8" x14ac:dyDescent="0.25">
      <c r="E1707" t="str">
        <f>""</f>
        <v/>
      </c>
      <c r="F1707" t="str">
        <f>""</f>
        <v/>
      </c>
      <c r="G1707" s="4">
        <v>0.54</v>
      </c>
      <c r="H1707" t="str">
        <f t="shared" si="27"/>
        <v>GUARDIAN</v>
      </c>
    </row>
    <row r="1708" spans="5:8" x14ac:dyDescent="0.25">
      <c r="E1708" t="str">
        <f>""</f>
        <v/>
      </c>
      <c r="F1708" t="str">
        <f>""</f>
        <v/>
      </c>
      <c r="G1708" s="4">
        <v>2.73</v>
      </c>
      <c r="H1708" t="str">
        <f t="shared" si="27"/>
        <v>GUARDIAN</v>
      </c>
    </row>
    <row r="1709" spans="5:8" x14ac:dyDescent="0.25">
      <c r="E1709" t="str">
        <f>""</f>
        <v/>
      </c>
      <c r="F1709" t="str">
        <f>""</f>
        <v/>
      </c>
      <c r="G1709" s="4">
        <v>0.86</v>
      </c>
      <c r="H1709" t="str">
        <f t="shared" si="27"/>
        <v>GUARDIAN</v>
      </c>
    </row>
    <row r="1710" spans="5:8" x14ac:dyDescent="0.25">
      <c r="E1710" t="str">
        <f>""</f>
        <v/>
      </c>
      <c r="F1710" t="str">
        <f>""</f>
        <v/>
      </c>
      <c r="G1710" s="4">
        <v>1.4</v>
      </c>
      <c r="H1710" t="str">
        <f t="shared" si="27"/>
        <v>GUARDIAN</v>
      </c>
    </row>
    <row r="1711" spans="5:8" x14ac:dyDescent="0.25">
      <c r="E1711" t="str">
        <f>""</f>
        <v/>
      </c>
      <c r="F1711" t="str">
        <f>""</f>
        <v/>
      </c>
      <c r="G1711" s="4">
        <v>1.4</v>
      </c>
      <c r="H1711" t="str">
        <f t="shared" si="27"/>
        <v>GUARDIAN</v>
      </c>
    </row>
    <row r="1712" spans="5:8" x14ac:dyDescent="0.25">
      <c r="E1712" t="str">
        <f>""</f>
        <v/>
      </c>
      <c r="F1712" t="str">
        <f>""</f>
        <v/>
      </c>
      <c r="G1712" s="4">
        <v>0.22</v>
      </c>
      <c r="H1712" t="str">
        <f t="shared" si="27"/>
        <v>GUARDIAN</v>
      </c>
    </row>
    <row r="1713" spans="5:8" x14ac:dyDescent="0.25">
      <c r="E1713" t="str">
        <f>""</f>
        <v/>
      </c>
      <c r="F1713" t="str">
        <f>""</f>
        <v/>
      </c>
      <c r="G1713" s="4">
        <v>0.54</v>
      </c>
      <c r="H1713" t="str">
        <f t="shared" si="27"/>
        <v>GUARDIAN</v>
      </c>
    </row>
    <row r="1714" spans="5:8" x14ac:dyDescent="0.25">
      <c r="E1714" t="str">
        <f>""</f>
        <v/>
      </c>
      <c r="F1714" t="str">
        <f>""</f>
        <v/>
      </c>
      <c r="G1714" s="4">
        <v>0.86</v>
      </c>
      <c r="H1714" t="str">
        <f t="shared" si="27"/>
        <v>GUARDIAN</v>
      </c>
    </row>
    <row r="1715" spans="5:8" x14ac:dyDescent="0.25">
      <c r="E1715" t="str">
        <f>""</f>
        <v/>
      </c>
      <c r="F1715" t="str">
        <f>""</f>
        <v/>
      </c>
      <c r="G1715" s="4">
        <v>3.13</v>
      </c>
      <c r="H1715" t="str">
        <f t="shared" si="27"/>
        <v>GUARDIAN</v>
      </c>
    </row>
    <row r="1716" spans="5:8" x14ac:dyDescent="0.25">
      <c r="E1716" t="str">
        <f>""</f>
        <v/>
      </c>
      <c r="F1716" t="str">
        <f>""</f>
        <v/>
      </c>
      <c r="G1716" s="4">
        <v>1.4</v>
      </c>
      <c r="H1716" t="str">
        <f t="shared" si="27"/>
        <v>GUARDIAN</v>
      </c>
    </row>
    <row r="1717" spans="5:8" x14ac:dyDescent="0.25">
      <c r="E1717" t="str">
        <f>""</f>
        <v/>
      </c>
      <c r="F1717" t="str">
        <f>""</f>
        <v/>
      </c>
      <c r="G1717" s="4">
        <v>0.11</v>
      </c>
      <c r="H1717" t="str">
        <f t="shared" si="27"/>
        <v>GUARDIAN</v>
      </c>
    </row>
    <row r="1718" spans="5:8" x14ac:dyDescent="0.25">
      <c r="E1718" t="str">
        <f>""</f>
        <v/>
      </c>
      <c r="F1718" t="str">
        <f>""</f>
        <v/>
      </c>
      <c r="G1718" s="4">
        <v>0.49</v>
      </c>
      <c r="H1718" t="str">
        <f t="shared" si="27"/>
        <v>GUARDIAN</v>
      </c>
    </row>
    <row r="1719" spans="5:8" x14ac:dyDescent="0.25">
      <c r="E1719" t="str">
        <f>""</f>
        <v/>
      </c>
      <c r="F1719" t="str">
        <f>""</f>
        <v/>
      </c>
      <c r="G1719" s="4">
        <v>3.29</v>
      </c>
      <c r="H1719" t="str">
        <f t="shared" si="27"/>
        <v>GUARDIAN</v>
      </c>
    </row>
    <row r="1720" spans="5:8" x14ac:dyDescent="0.25">
      <c r="E1720" t="str">
        <f>""</f>
        <v/>
      </c>
      <c r="F1720" t="str">
        <f>""</f>
        <v/>
      </c>
      <c r="G1720" s="4">
        <v>0.75</v>
      </c>
      <c r="H1720" t="str">
        <f t="shared" si="27"/>
        <v>GUARDIAN</v>
      </c>
    </row>
    <row r="1721" spans="5:8" x14ac:dyDescent="0.25">
      <c r="E1721" t="str">
        <f>""</f>
        <v/>
      </c>
      <c r="F1721" t="str">
        <f>""</f>
        <v/>
      </c>
      <c r="G1721" s="4">
        <v>7.0000000000000007E-2</v>
      </c>
      <c r="H1721" t="str">
        <f t="shared" si="27"/>
        <v>GUARDIAN</v>
      </c>
    </row>
    <row r="1722" spans="5:8" x14ac:dyDescent="0.25">
      <c r="E1722" t="str">
        <f>""</f>
        <v/>
      </c>
      <c r="F1722" t="str">
        <f>""</f>
        <v/>
      </c>
      <c r="G1722" s="4">
        <v>271.48</v>
      </c>
      <c r="H1722" t="str">
        <f t="shared" si="27"/>
        <v>GUARDIAN</v>
      </c>
    </row>
    <row r="1723" spans="5:8" x14ac:dyDescent="0.25">
      <c r="E1723" t="str">
        <f>"LIA202112077702"</f>
        <v>LIA202112077702</v>
      </c>
      <c r="F1723" t="str">
        <f>"GUARDIAN"</f>
        <v>GUARDIAN</v>
      </c>
      <c r="G1723" s="4">
        <v>1.4</v>
      </c>
      <c r="H1723" t="str">
        <f t="shared" si="27"/>
        <v>GUARDIAN</v>
      </c>
    </row>
    <row r="1724" spans="5:8" x14ac:dyDescent="0.25">
      <c r="E1724" t="str">
        <f>""</f>
        <v/>
      </c>
      <c r="F1724" t="str">
        <f>""</f>
        <v/>
      </c>
      <c r="G1724" s="4">
        <v>39.590000000000003</v>
      </c>
      <c r="H1724" t="str">
        <f t="shared" si="27"/>
        <v>GUARDIAN</v>
      </c>
    </row>
    <row r="1725" spans="5:8" x14ac:dyDescent="0.25">
      <c r="E1725" t="str">
        <f>"LIA202112177863"</f>
        <v>LIA202112177863</v>
      </c>
      <c r="F1725" t="str">
        <f>"GUARDIAN"</f>
        <v>GUARDIAN</v>
      </c>
      <c r="G1725" s="4">
        <v>0.86</v>
      </c>
      <c r="H1725" t="str">
        <f t="shared" si="27"/>
        <v>GUARDIAN</v>
      </c>
    </row>
    <row r="1726" spans="5:8" x14ac:dyDescent="0.25">
      <c r="E1726" t="str">
        <f>""</f>
        <v/>
      </c>
      <c r="F1726" t="str">
        <f>""</f>
        <v/>
      </c>
      <c r="G1726" s="4">
        <v>0.74</v>
      </c>
      <c r="H1726" t="str">
        <f t="shared" si="27"/>
        <v>GUARDIAN</v>
      </c>
    </row>
    <row r="1727" spans="5:8" x14ac:dyDescent="0.25">
      <c r="E1727" t="str">
        <f>""</f>
        <v/>
      </c>
      <c r="F1727" t="str">
        <f>""</f>
        <v/>
      </c>
      <c r="G1727" s="4">
        <v>1.4</v>
      </c>
      <c r="H1727" t="str">
        <f t="shared" si="27"/>
        <v>GUARDIAN</v>
      </c>
    </row>
    <row r="1728" spans="5:8" x14ac:dyDescent="0.25">
      <c r="E1728" t="str">
        <f>""</f>
        <v/>
      </c>
      <c r="F1728" t="str">
        <f>""</f>
        <v/>
      </c>
      <c r="G1728" s="4">
        <v>1.4</v>
      </c>
      <c r="H1728" t="str">
        <f t="shared" si="27"/>
        <v>GUARDIAN</v>
      </c>
    </row>
    <row r="1729" spans="5:8" x14ac:dyDescent="0.25">
      <c r="E1729" t="str">
        <f>""</f>
        <v/>
      </c>
      <c r="F1729" t="str">
        <f>""</f>
        <v/>
      </c>
      <c r="G1729" s="4">
        <v>6.46</v>
      </c>
      <c r="H1729" t="str">
        <f t="shared" si="27"/>
        <v>GUARDIAN</v>
      </c>
    </row>
    <row r="1730" spans="5:8" x14ac:dyDescent="0.25">
      <c r="E1730" t="str">
        <f>""</f>
        <v/>
      </c>
      <c r="F1730" t="str">
        <f>""</f>
        <v/>
      </c>
      <c r="G1730" s="4">
        <v>0.54</v>
      </c>
      <c r="H1730" t="str">
        <f t="shared" si="27"/>
        <v>GUARDIAN</v>
      </c>
    </row>
    <row r="1731" spans="5:8" x14ac:dyDescent="0.25">
      <c r="E1731" t="str">
        <f>""</f>
        <v/>
      </c>
      <c r="F1731" t="str">
        <f>""</f>
        <v/>
      </c>
      <c r="G1731" s="4">
        <v>2.73</v>
      </c>
      <c r="H1731" t="str">
        <f t="shared" si="27"/>
        <v>GUARDIAN</v>
      </c>
    </row>
    <row r="1732" spans="5:8" x14ac:dyDescent="0.25">
      <c r="E1732" t="str">
        <f>""</f>
        <v/>
      </c>
      <c r="F1732" t="str">
        <f>""</f>
        <v/>
      </c>
      <c r="G1732" s="4">
        <v>0.86</v>
      </c>
      <c r="H1732" t="str">
        <f t="shared" si="27"/>
        <v>GUARDIAN</v>
      </c>
    </row>
    <row r="1733" spans="5:8" x14ac:dyDescent="0.25">
      <c r="E1733" t="str">
        <f>""</f>
        <v/>
      </c>
      <c r="F1733" t="str">
        <f>""</f>
        <v/>
      </c>
      <c r="G1733" s="4">
        <v>1.4</v>
      </c>
      <c r="H1733" t="str">
        <f t="shared" si="27"/>
        <v>GUARDIAN</v>
      </c>
    </row>
    <row r="1734" spans="5:8" x14ac:dyDescent="0.25">
      <c r="E1734" t="str">
        <f>""</f>
        <v/>
      </c>
      <c r="F1734" t="str">
        <f>""</f>
        <v/>
      </c>
      <c r="G1734" s="4">
        <v>1.4</v>
      </c>
      <c r="H1734" t="str">
        <f t="shared" ref="H1734:H1765" si="28">"GUARDIAN"</f>
        <v>GUARDIAN</v>
      </c>
    </row>
    <row r="1735" spans="5:8" x14ac:dyDescent="0.25">
      <c r="E1735" t="str">
        <f>""</f>
        <v/>
      </c>
      <c r="F1735" t="str">
        <f>""</f>
        <v/>
      </c>
      <c r="G1735" s="4">
        <v>0.22</v>
      </c>
      <c r="H1735" t="str">
        <f t="shared" si="28"/>
        <v>GUARDIAN</v>
      </c>
    </row>
    <row r="1736" spans="5:8" x14ac:dyDescent="0.25">
      <c r="E1736" t="str">
        <f>""</f>
        <v/>
      </c>
      <c r="F1736" t="str">
        <f>""</f>
        <v/>
      </c>
      <c r="G1736" s="4">
        <v>0.54</v>
      </c>
      <c r="H1736" t="str">
        <f t="shared" si="28"/>
        <v>GUARDIAN</v>
      </c>
    </row>
    <row r="1737" spans="5:8" x14ac:dyDescent="0.25">
      <c r="E1737" t="str">
        <f>""</f>
        <v/>
      </c>
      <c r="F1737" t="str">
        <f>""</f>
        <v/>
      </c>
      <c r="G1737" s="4">
        <v>0.86</v>
      </c>
      <c r="H1737" t="str">
        <f t="shared" si="28"/>
        <v>GUARDIAN</v>
      </c>
    </row>
    <row r="1738" spans="5:8" x14ac:dyDescent="0.25">
      <c r="E1738" t="str">
        <f>""</f>
        <v/>
      </c>
      <c r="F1738" t="str">
        <f>""</f>
        <v/>
      </c>
      <c r="G1738" s="4">
        <v>3.13</v>
      </c>
      <c r="H1738" t="str">
        <f t="shared" si="28"/>
        <v>GUARDIAN</v>
      </c>
    </row>
    <row r="1739" spans="5:8" x14ac:dyDescent="0.25">
      <c r="E1739" t="str">
        <f>""</f>
        <v/>
      </c>
      <c r="F1739" t="str">
        <f>""</f>
        <v/>
      </c>
      <c r="G1739" s="4">
        <v>1.4</v>
      </c>
      <c r="H1739" t="str">
        <f t="shared" si="28"/>
        <v>GUARDIAN</v>
      </c>
    </row>
    <row r="1740" spans="5:8" x14ac:dyDescent="0.25">
      <c r="E1740" t="str">
        <f>""</f>
        <v/>
      </c>
      <c r="F1740" t="str">
        <f>""</f>
        <v/>
      </c>
      <c r="G1740" s="4">
        <v>0.11</v>
      </c>
      <c r="H1740" t="str">
        <f t="shared" si="28"/>
        <v>GUARDIAN</v>
      </c>
    </row>
    <row r="1741" spans="5:8" x14ac:dyDescent="0.25">
      <c r="E1741" t="str">
        <f>""</f>
        <v/>
      </c>
      <c r="F1741" t="str">
        <f>""</f>
        <v/>
      </c>
      <c r="G1741" s="4">
        <v>0.49</v>
      </c>
      <c r="H1741" t="str">
        <f t="shared" si="28"/>
        <v>GUARDIAN</v>
      </c>
    </row>
    <row r="1742" spans="5:8" x14ac:dyDescent="0.25">
      <c r="E1742" t="str">
        <f>""</f>
        <v/>
      </c>
      <c r="F1742" t="str">
        <f>""</f>
        <v/>
      </c>
      <c r="G1742" s="4">
        <v>3.29</v>
      </c>
      <c r="H1742" t="str">
        <f t="shared" si="28"/>
        <v>GUARDIAN</v>
      </c>
    </row>
    <row r="1743" spans="5:8" x14ac:dyDescent="0.25">
      <c r="E1743" t="str">
        <f>""</f>
        <v/>
      </c>
      <c r="F1743" t="str">
        <f>""</f>
        <v/>
      </c>
      <c r="G1743" s="4">
        <v>0.75</v>
      </c>
      <c r="H1743" t="str">
        <f t="shared" si="28"/>
        <v>GUARDIAN</v>
      </c>
    </row>
    <row r="1744" spans="5:8" x14ac:dyDescent="0.25">
      <c r="E1744" t="str">
        <f>""</f>
        <v/>
      </c>
      <c r="F1744" t="str">
        <f>""</f>
        <v/>
      </c>
      <c r="G1744" s="4">
        <v>7.0000000000000007E-2</v>
      </c>
      <c r="H1744" t="str">
        <f t="shared" si="28"/>
        <v>GUARDIAN</v>
      </c>
    </row>
    <row r="1745" spans="5:8" x14ac:dyDescent="0.25">
      <c r="E1745" t="str">
        <f>""</f>
        <v/>
      </c>
      <c r="F1745" t="str">
        <f>""</f>
        <v/>
      </c>
      <c r="G1745" s="4">
        <v>271.48</v>
      </c>
      <c r="H1745" t="str">
        <f t="shared" si="28"/>
        <v>GUARDIAN</v>
      </c>
    </row>
    <row r="1746" spans="5:8" x14ac:dyDescent="0.25">
      <c r="E1746" t="str">
        <f>"LIA202112177864"</f>
        <v>LIA202112177864</v>
      </c>
      <c r="F1746" t="str">
        <f>"GUARDIAN"</f>
        <v>GUARDIAN</v>
      </c>
      <c r="G1746" s="4">
        <v>1.4</v>
      </c>
      <c r="H1746" t="str">
        <f t="shared" si="28"/>
        <v>GUARDIAN</v>
      </c>
    </row>
    <row r="1747" spans="5:8" x14ac:dyDescent="0.25">
      <c r="E1747" t="str">
        <f>""</f>
        <v/>
      </c>
      <c r="F1747" t="str">
        <f>""</f>
        <v/>
      </c>
      <c r="G1747" s="4">
        <v>39.590000000000003</v>
      </c>
      <c r="H1747" t="str">
        <f t="shared" si="28"/>
        <v>GUARDIAN</v>
      </c>
    </row>
    <row r="1748" spans="5:8" x14ac:dyDescent="0.25">
      <c r="E1748" t="str">
        <f>"LIC202112077701"</f>
        <v>LIC202112077701</v>
      </c>
      <c r="F1748" t="str">
        <f>"GUARDIAN"</f>
        <v>GUARDIAN</v>
      </c>
      <c r="G1748" s="4">
        <v>34.58</v>
      </c>
      <c r="H1748" t="str">
        <f t="shared" si="28"/>
        <v>GUARDIAN</v>
      </c>
    </row>
    <row r="1749" spans="5:8" x14ac:dyDescent="0.25">
      <c r="E1749" t="str">
        <f>"LIC202112077702"</f>
        <v>LIC202112077702</v>
      </c>
      <c r="F1749" t="str">
        <f>"GUARDIAN"</f>
        <v>GUARDIAN</v>
      </c>
      <c r="G1749" s="4">
        <v>0.7</v>
      </c>
      <c r="H1749" t="str">
        <f t="shared" si="28"/>
        <v>GUARDIAN</v>
      </c>
    </row>
    <row r="1750" spans="5:8" x14ac:dyDescent="0.25">
      <c r="E1750" t="str">
        <f>"LIC202112177863"</f>
        <v>LIC202112177863</v>
      </c>
      <c r="F1750" t="str">
        <f>"GUARDIAN"</f>
        <v>GUARDIAN</v>
      </c>
      <c r="G1750" s="4">
        <v>33.880000000000003</v>
      </c>
      <c r="H1750" t="str">
        <f t="shared" si="28"/>
        <v>GUARDIAN</v>
      </c>
    </row>
    <row r="1751" spans="5:8" x14ac:dyDescent="0.25">
      <c r="E1751" t="str">
        <f>"LIC202112177864"</f>
        <v>LIC202112177864</v>
      </c>
      <c r="F1751" t="str">
        <f>"GUARDIAN"</f>
        <v>GUARDIAN</v>
      </c>
      <c r="G1751" s="4">
        <v>0.7</v>
      </c>
      <c r="H1751" t="str">
        <f t="shared" si="28"/>
        <v>GUARDIAN</v>
      </c>
    </row>
    <row r="1752" spans="5:8" x14ac:dyDescent="0.25">
      <c r="E1752" t="str">
        <f>"LIE202112077701"</f>
        <v>LIE202112077701</v>
      </c>
      <c r="F1752" t="str">
        <f>"GUARDIAN"</f>
        <v>GUARDIAN</v>
      </c>
      <c r="G1752" s="4">
        <v>4.3</v>
      </c>
      <c r="H1752" t="str">
        <f t="shared" si="28"/>
        <v>GUARDIAN</v>
      </c>
    </row>
    <row r="1753" spans="5:8" x14ac:dyDescent="0.25">
      <c r="E1753" t="str">
        <f>""</f>
        <v/>
      </c>
      <c r="F1753" t="str">
        <f>""</f>
        <v/>
      </c>
      <c r="G1753" s="4">
        <v>1.88</v>
      </c>
      <c r="H1753" t="str">
        <f t="shared" si="28"/>
        <v>GUARDIAN</v>
      </c>
    </row>
    <row r="1754" spans="5:8" x14ac:dyDescent="0.25">
      <c r="E1754" t="str">
        <f>""</f>
        <v/>
      </c>
      <c r="F1754" t="str">
        <f>""</f>
        <v/>
      </c>
      <c r="G1754" s="4">
        <v>16.940000000000001</v>
      </c>
      <c r="H1754" t="str">
        <f t="shared" si="28"/>
        <v>GUARDIAN</v>
      </c>
    </row>
    <row r="1755" spans="5:8" x14ac:dyDescent="0.25">
      <c r="E1755" t="str">
        <f>""</f>
        <v/>
      </c>
      <c r="F1755" t="str">
        <f>""</f>
        <v/>
      </c>
      <c r="G1755" s="4">
        <v>6.45</v>
      </c>
      <c r="H1755" t="str">
        <f t="shared" si="28"/>
        <v>GUARDIAN</v>
      </c>
    </row>
    <row r="1756" spans="5:8" x14ac:dyDescent="0.25">
      <c r="E1756" t="str">
        <f>""</f>
        <v/>
      </c>
      <c r="F1756" t="str">
        <f>""</f>
        <v/>
      </c>
      <c r="G1756" s="4">
        <v>2.15</v>
      </c>
      <c r="H1756" t="str">
        <f t="shared" si="28"/>
        <v>GUARDIAN</v>
      </c>
    </row>
    <row r="1757" spans="5:8" x14ac:dyDescent="0.25">
      <c r="E1757" t="str">
        <f>""</f>
        <v/>
      </c>
      <c r="F1757" t="str">
        <f>""</f>
        <v/>
      </c>
      <c r="G1757" s="4">
        <v>12.9</v>
      </c>
      <c r="H1757" t="str">
        <f t="shared" si="28"/>
        <v>GUARDIAN</v>
      </c>
    </row>
    <row r="1758" spans="5:8" x14ac:dyDescent="0.25">
      <c r="E1758" t="str">
        <f>""</f>
        <v/>
      </c>
      <c r="F1758" t="str">
        <f>""</f>
        <v/>
      </c>
      <c r="G1758" s="4">
        <v>43</v>
      </c>
      <c r="H1758" t="str">
        <f t="shared" si="28"/>
        <v>GUARDIAN</v>
      </c>
    </row>
    <row r="1759" spans="5:8" x14ac:dyDescent="0.25">
      <c r="E1759" t="str">
        <f>""</f>
        <v/>
      </c>
      <c r="F1759" t="str">
        <f>""</f>
        <v/>
      </c>
      <c r="G1759" s="4">
        <v>6.14</v>
      </c>
      <c r="H1759" t="str">
        <f t="shared" si="28"/>
        <v>GUARDIAN</v>
      </c>
    </row>
    <row r="1760" spans="5:8" x14ac:dyDescent="0.25">
      <c r="E1760" t="str">
        <f>""</f>
        <v/>
      </c>
      <c r="F1760" t="str">
        <f>""</f>
        <v/>
      </c>
      <c r="G1760" s="4">
        <v>10.75</v>
      </c>
      <c r="H1760" t="str">
        <f t="shared" si="28"/>
        <v>GUARDIAN</v>
      </c>
    </row>
    <row r="1761" spans="5:8" x14ac:dyDescent="0.25">
      <c r="E1761" t="str">
        <f>""</f>
        <v/>
      </c>
      <c r="F1761" t="str">
        <f>""</f>
        <v/>
      </c>
      <c r="G1761" s="4">
        <v>23.65</v>
      </c>
      <c r="H1761" t="str">
        <f t="shared" si="28"/>
        <v>GUARDIAN</v>
      </c>
    </row>
    <row r="1762" spans="5:8" x14ac:dyDescent="0.25">
      <c r="E1762" t="str">
        <f>""</f>
        <v/>
      </c>
      <c r="F1762" t="str">
        <f>""</f>
        <v/>
      </c>
      <c r="G1762" s="4">
        <v>8.6</v>
      </c>
      <c r="H1762" t="str">
        <f t="shared" si="28"/>
        <v>GUARDIAN</v>
      </c>
    </row>
    <row r="1763" spans="5:8" x14ac:dyDescent="0.25">
      <c r="E1763" t="str">
        <f>""</f>
        <v/>
      </c>
      <c r="F1763" t="str">
        <f>""</f>
        <v/>
      </c>
      <c r="G1763" s="4">
        <v>8.6</v>
      </c>
      <c r="H1763" t="str">
        <f t="shared" si="28"/>
        <v>GUARDIAN</v>
      </c>
    </row>
    <row r="1764" spans="5:8" x14ac:dyDescent="0.25">
      <c r="E1764" t="str">
        <f>""</f>
        <v/>
      </c>
      <c r="F1764" t="str">
        <f>""</f>
        <v/>
      </c>
      <c r="G1764" s="4">
        <v>8.6</v>
      </c>
      <c r="H1764" t="str">
        <f t="shared" si="28"/>
        <v>GUARDIAN</v>
      </c>
    </row>
    <row r="1765" spans="5:8" x14ac:dyDescent="0.25">
      <c r="E1765" t="str">
        <f>""</f>
        <v/>
      </c>
      <c r="F1765" t="str">
        <f>""</f>
        <v/>
      </c>
      <c r="G1765" s="4">
        <v>6.45</v>
      </c>
      <c r="H1765" t="str">
        <f t="shared" si="28"/>
        <v>GUARDIAN</v>
      </c>
    </row>
    <row r="1766" spans="5:8" x14ac:dyDescent="0.25">
      <c r="E1766" t="str">
        <f>""</f>
        <v/>
      </c>
      <c r="F1766" t="str">
        <f>""</f>
        <v/>
      </c>
      <c r="G1766" s="4">
        <v>4.3</v>
      </c>
      <c r="H1766" t="str">
        <f t="shared" ref="H1766:H1797" si="29">"GUARDIAN"</f>
        <v>GUARDIAN</v>
      </c>
    </row>
    <row r="1767" spans="5:8" x14ac:dyDescent="0.25">
      <c r="E1767" t="str">
        <f>""</f>
        <v/>
      </c>
      <c r="F1767" t="str">
        <f>""</f>
        <v/>
      </c>
      <c r="G1767" s="4">
        <v>31.99</v>
      </c>
      <c r="H1767" t="str">
        <f t="shared" si="29"/>
        <v>GUARDIAN</v>
      </c>
    </row>
    <row r="1768" spans="5:8" x14ac:dyDescent="0.25">
      <c r="E1768" t="str">
        <f>""</f>
        <v/>
      </c>
      <c r="F1768" t="str">
        <f>""</f>
        <v/>
      </c>
      <c r="G1768" s="4">
        <v>17.2</v>
      </c>
      <c r="H1768" t="str">
        <f t="shared" si="29"/>
        <v>GUARDIAN</v>
      </c>
    </row>
    <row r="1769" spans="5:8" x14ac:dyDescent="0.25">
      <c r="E1769" t="str">
        <f>""</f>
        <v/>
      </c>
      <c r="F1769" t="str">
        <f>""</f>
        <v/>
      </c>
      <c r="G1769" s="4">
        <v>8.6</v>
      </c>
      <c r="H1769" t="str">
        <f t="shared" si="29"/>
        <v>GUARDIAN</v>
      </c>
    </row>
    <row r="1770" spans="5:8" x14ac:dyDescent="0.25">
      <c r="E1770" t="str">
        <f>""</f>
        <v/>
      </c>
      <c r="F1770" t="str">
        <f>""</f>
        <v/>
      </c>
      <c r="G1770" s="4">
        <v>8.6</v>
      </c>
      <c r="H1770" t="str">
        <f t="shared" si="29"/>
        <v>GUARDIAN</v>
      </c>
    </row>
    <row r="1771" spans="5:8" x14ac:dyDescent="0.25">
      <c r="E1771" t="str">
        <f>""</f>
        <v/>
      </c>
      <c r="F1771" t="str">
        <f>""</f>
        <v/>
      </c>
      <c r="G1771" s="4">
        <v>30.1</v>
      </c>
      <c r="H1771" t="str">
        <f t="shared" si="29"/>
        <v>GUARDIAN</v>
      </c>
    </row>
    <row r="1772" spans="5:8" x14ac:dyDescent="0.25">
      <c r="E1772" t="str">
        <f>""</f>
        <v/>
      </c>
      <c r="F1772" t="str">
        <f>""</f>
        <v/>
      </c>
      <c r="G1772" s="4">
        <v>12.9</v>
      </c>
      <c r="H1772" t="str">
        <f t="shared" si="29"/>
        <v>GUARDIAN</v>
      </c>
    </row>
    <row r="1773" spans="5:8" x14ac:dyDescent="0.25">
      <c r="E1773" t="str">
        <f>""</f>
        <v/>
      </c>
      <c r="F1773" t="str">
        <f>""</f>
        <v/>
      </c>
      <c r="G1773" s="4">
        <v>23.65</v>
      </c>
      <c r="H1773" t="str">
        <f t="shared" si="29"/>
        <v>GUARDIAN</v>
      </c>
    </row>
    <row r="1774" spans="5:8" x14ac:dyDescent="0.25">
      <c r="E1774" t="str">
        <f>""</f>
        <v/>
      </c>
      <c r="F1774" t="str">
        <f>""</f>
        <v/>
      </c>
      <c r="G1774" s="4">
        <v>27.95</v>
      </c>
      <c r="H1774" t="str">
        <f t="shared" si="29"/>
        <v>GUARDIAN</v>
      </c>
    </row>
    <row r="1775" spans="5:8" x14ac:dyDescent="0.25">
      <c r="E1775" t="str">
        <f>""</f>
        <v/>
      </c>
      <c r="F1775" t="str">
        <f>""</f>
        <v/>
      </c>
      <c r="G1775" s="4">
        <v>47.33</v>
      </c>
      <c r="H1775" t="str">
        <f t="shared" si="29"/>
        <v>GUARDIAN</v>
      </c>
    </row>
    <row r="1776" spans="5:8" x14ac:dyDescent="0.25">
      <c r="E1776" t="str">
        <f>""</f>
        <v/>
      </c>
      <c r="F1776" t="str">
        <f>""</f>
        <v/>
      </c>
      <c r="G1776" s="4">
        <v>2.15</v>
      </c>
      <c r="H1776" t="str">
        <f t="shared" si="29"/>
        <v>GUARDIAN</v>
      </c>
    </row>
    <row r="1777" spans="5:8" x14ac:dyDescent="0.25">
      <c r="E1777" t="str">
        <f>""</f>
        <v/>
      </c>
      <c r="F1777" t="str">
        <f>""</f>
        <v/>
      </c>
      <c r="G1777" s="4">
        <v>2.15</v>
      </c>
      <c r="H1777" t="str">
        <f t="shared" si="29"/>
        <v>GUARDIAN</v>
      </c>
    </row>
    <row r="1778" spans="5:8" x14ac:dyDescent="0.25">
      <c r="E1778" t="str">
        <f>""</f>
        <v/>
      </c>
      <c r="F1778" t="str">
        <f>""</f>
        <v/>
      </c>
      <c r="G1778" s="4">
        <v>2.15</v>
      </c>
      <c r="H1778" t="str">
        <f t="shared" si="29"/>
        <v>GUARDIAN</v>
      </c>
    </row>
    <row r="1779" spans="5:8" x14ac:dyDescent="0.25">
      <c r="E1779" t="str">
        <f>""</f>
        <v/>
      </c>
      <c r="F1779" t="str">
        <f>""</f>
        <v/>
      </c>
      <c r="G1779" s="4">
        <v>195.95</v>
      </c>
      <c r="H1779" t="str">
        <f t="shared" si="29"/>
        <v>GUARDIAN</v>
      </c>
    </row>
    <row r="1780" spans="5:8" x14ac:dyDescent="0.25">
      <c r="E1780" t="str">
        <f>""</f>
        <v/>
      </c>
      <c r="F1780" t="str">
        <f>""</f>
        <v/>
      </c>
      <c r="G1780" s="4">
        <v>8.48</v>
      </c>
      <c r="H1780" t="str">
        <f t="shared" si="29"/>
        <v>GUARDIAN</v>
      </c>
    </row>
    <row r="1781" spans="5:8" x14ac:dyDescent="0.25">
      <c r="E1781" t="str">
        <f>""</f>
        <v/>
      </c>
      <c r="F1781" t="str">
        <f>""</f>
        <v/>
      </c>
      <c r="G1781" s="4">
        <v>173.98</v>
      </c>
      <c r="H1781" t="str">
        <f t="shared" si="29"/>
        <v>GUARDIAN</v>
      </c>
    </row>
    <row r="1782" spans="5:8" x14ac:dyDescent="0.25">
      <c r="E1782" t="str">
        <f>""</f>
        <v/>
      </c>
      <c r="F1782" t="str">
        <f>""</f>
        <v/>
      </c>
      <c r="G1782" s="4">
        <v>36.549999999999997</v>
      </c>
      <c r="H1782" t="str">
        <f t="shared" si="29"/>
        <v>GUARDIAN</v>
      </c>
    </row>
    <row r="1783" spans="5:8" x14ac:dyDescent="0.25">
      <c r="E1783" t="str">
        <f>""</f>
        <v/>
      </c>
      <c r="F1783" t="str">
        <f>""</f>
        <v/>
      </c>
      <c r="G1783" s="4">
        <v>2.15</v>
      </c>
      <c r="H1783" t="str">
        <f t="shared" si="29"/>
        <v>GUARDIAN</v>
      </c>
    </row>
    <row r="1784" spans="5:8" x14ac:dyDescent="0.25">
      <c r="E1784" t="str">
        <f>""</f>
        <v/>
      </c>
      <c r="F1784" t="str">
        <f>""</f>
        <v/>
      </c>
      <c r="G1784" s="4">
        <v>6.45</v>
      </c>
      <c r="H1784" t="str">
        <f t="shared" si="29"/>
        <v>GUARDIAN</v>
      </c>
    </row>
    <row r="1785" spans="5:8" x14ac:dyDescent="0.25">
      <c r="E1785" t="str">
        <f>""</f>
        <v/>
      </c>
      <c r="F1785" t="str">
        <f>""</f>
        <v/>
      </c>
      <c r="G1785" s="4">
        <v>0.26</v>
      </c>
      <c r="H1785" t="str">
        <f t="shared" si="29"/>
        <v>GUARDIAN</v>
      </c>
    </row>
    <row r="1786" spans="5:8" x14ac:dyDescent="0.25">
      <c r="E1786" t="str">
        <f>""</f>
        <v/>
      </c>
      <c r="F1786" t="str">
        <f>""</f>
        <v/>
      </c>
      <c r="G1786" s="4">
        <v>6.45</v>
      </c>
      <c r="H1786" t="str">
        <f t="shared" si="29"/>
        <v>GUARDIAN</v>
      </c>
    </row>
    <row r="1787" spans="5:8" x14ac:dyDescent="0.25">
      <c r="E1787" t="str">
        <f>""</f>
        <v/>
      </c>
      <c r="F1787" t="str">
        <f>""</f>
        <v/>
      </c>
      <c r="G1787" s="4">
        <v>2.15</v>
      </c>
      <c r="H1787" t="str">
        <f t="shared" si="29"/>
        <v>GUARDIAN</v>
      </c>
    </row>
    <row r="1788" spans="5:8" x14ac:dyDescent="0.25">
      <c r="E1788" t="str">
        <f>""</f>
        <v/>
      </c>
      <c r="F1788" t="str">
        <f>""</f>
        <v/>
      </c>
      <c r="G1788" s="4">
        <v>8.6</v>
      </c>
      <c r="H1788" t="str">
        <f t="shared" si="29"/>
        <v>GUARDIAN</v>
      </c>
    </row>
    <row r="1789" spans="5:8" x14ac:dyDescent="0.25">
      <c r="E1789" t="str">
        <f>""</f>
        <v/>
      </c>
      <c r="F1789" t="str">
        <f>""</f>
        <v/>
      </c>
      <c r="G1789" s="4">
        <v>4.3</v>
      </c>
      <c r="H1789" t="str">
        <f t="shared" si="29"/>
        <v>GUARDIAN</v>
      </c>
    </row>
    <row r="1790" spans="5:8" x14ac:dyDescent="0.25">
      <c r="E1790" t="str">
        <f>""</f>
        <v/>
      </c>
      <c r="F1790" t="str">
        <f>""</f>
        <v/>
      </c>
      <c r="G1790" s="4">
        <v>2.41</v>
      </c>
      <c r="H1790" t="str">
        <f t="shared" si="29"/>
        <v>GUARDIAN</v>
      </c>
    </row>
    <row r="1791" spans="5:8" x14ac:dyDescent="0.25">
      <c r="E1791" t="str">
        <f>""</f>
        <v/>
      </c>
      <c r="F1791" t="str">
        <f>""</f>
        <v/>
      </c>
      <c r="G1791" s="4">
        <v>26.33</v>
      </c>
      <c r="H1791" t="str">
        <f t="shared" si="29"/>
        <v>GUARDIAN</v>
      </c>
    </row>
    <row r="1792" spans="5:8" x14ac:dyDescent="0.25">
      <c r="E1792" t="str">
        <f>""</f>
        <v/>
      </c>
      <c r="F1792" t="str">
        <f>""</f>
        <v/>
      </c>
      <c r="G1792" s="4">
        <v>29.69</v>
      </c>
      <c r="H1792" t="str">
        <f t="shared" si="29"/>
        <v>GUARDIAN</v>
      </c>
    </row>
    <row r="1793" spans="5:8" x14ac:dyDescent="0.25">
      <c r="E1793" t="str">
        <f>""</f>
        <v/>
      </c>
      <c r="F1793" t="str">
        <f>""</f>
        <v/>
      </c>
      <c r="G1793" s="4">
        <v>29.69</v>
      </c>
      <c r="H1793" t="str">
        <f t="shared" si="29"/>
        <v>GUARDIAN</v>
      </c>
    </row>
    <row r="1794" spans="5:8" x14ac:dyDescent="0.25">
      <c r="E1794" t="str">
        <f>""</f>
        <v/>
      </c>
      <c r="F1794" t="str">
        <f>""</f>
        <v/>
      </c>
      <c r="G1794" s="4">
        <v>26.33</v>
      </c>
      <c r="H1794" t="str">
        <f t="shared" si="29"/>
        <v>GUARDIAN</v>
      </c>
    </row>
    <row r="1795" spans="5:8" x14ac:dyDescent="0.25">
      <c r="E1795" t="str">
        <f>""</f>
        <v/>
      </c>
      <c r="F1795" t="str">
        <f>""</f>
        <v/>
      </c>
      <c r="G1795" s="4">
        <v>1.89</v>
      </c>
      <c r="H1795" t="str">
        <f t="shared" si="29"/>
        <v>GUARDIAN</v>
      </c>
    </row>
    <row r="1796" spans="5:8" x14ac:dyDescent="0.25">
      <c r="E1796" t="str">
        <f>""</f>
        <v/>
      </c>
      <c r="F1796" t="str">
        <f>""</f>
        <v/>
      </c>
      <c r="G1796" s="4">
        <v>0.09</v>
      </c>
      <c r="H1796" t="str">
        <f t="shared" si="29"/>
        <v>GUARDIAN</v>
      </c>
    </row>
    <row r="1797" spans="5:8" x14ac:dyDescent="0.25">
      <c r="E1797" t="str">
        <f>""</f>
        <v/>
      </c>
      <c r="F1797" t="str">
        <f>""</f>
        <v/>
      </c>
      <c r="G1797" s="4">
        <v>0.17</v>
      </c>
      <c r="H1797" t="str">
        <f t="shared" si="29"/>
        <v>GUARDIAN</v>
      </c>
    </row>
    <row r="1798" spans="5:8" x14ac:dyDescent="0.25">
      <c r="E1798" t="str">
        <f>""</f>
        <v/>
      </c>
      <c r="F1798" t="str">
        <f>""</f>
        <v/>
      </c>
      <c r="G1798" s="4">
        <v>0.31</v>
      </c>
      <c r="H1798" t="str">
        <f t="shared" ref="H1798:H1829" si="30">"GUARDIAN"</f>
        <v>GUARDIAN</v>
      </c>
    </row>
    <row r="1799" spans="5:8" x14ac:dyDescent="0.25">
      <c r="E1799" t="str">
        <f>""</f>
        <v/>
      </c>
      <c r="F1799" t="str">
        <f>""</f>
        <v/>
      </c>
      <c r="G1799" s="4">
        <v>2.14</v>
      </c>
      <c r="H1799" t="str">
        <f t="shared" si="30"/>
        <v>GUARDIAN</v>
      </c>
    </row>
    <row r="1800" spans="5:8" x14ac:dyDescent="0.25">
      <c r="E1800" t="str">
        <f>""</f>
        <v/>
      </c>
      <c r="F1800" t="str">
        <f>""</f>
        <v/>
      </c>
      <c r="G1800" s="4">
        <v>2793.32</v>
      </c>
      <c r="H1800" t="str">
        <f t="shared" si="30"/>
        <v>GUARDIAN</v>
      </c>
    </row>
    <row r="1801" spans="5:8" x14ac:dyDescent="0.25">
      <c r="E1801" t="str">
        <f>"LIE202112077702"</f>
        <v>LIE202112077702</v>
      </c>
      <c r="F1801" t="str">
        <f>"GUARDIAN"</f>
        <v>GUARDIAN</v>
      </c>
      <c r="G1801" s="4">
        <v>32.25</v>
      </c>
      <c r="H1801" t="str">
        <f t="shared" si="30"/>
        <v>GUARDIAN</v>
      </c>
    </row>
    <row r="1802" spans="5:8" x14ac:dyDescent="0.25">
      <c r="E1802" t="str">
        <f>""</f>
        <v/>
      </c>
      <c r="F1802" t="str">
        <f>""</f>
        <v/>
      </c>
      <c r="G1802" s="4">
        <v>51</v>
      </c>
      <c r="H1802" t="str">
        <f t="shared" si="30"/>
        <v>GUARDIAN</v>
      </c>
    </row>
    <row r="1803" spans="5:8" x14ac:dyDescent="0.25">
      <c r="E1803" t="str">
        <f>"LIE202112177863"</f>
        <v>LIE202112177863</v>
      </c>
      <c r="F1803" t="str">
        <f>"GUARDIAN"</f>
        <v>GUARDIAN</v>
      </c>
      <c r="G1803" s="4">
        <v>4.3</v>
      </c>
      <c r="H1803" t="str">
        <f t="shared" si="30"/>
        <v>GUARDIAN</v>
      </c>
    </row>
    <row r="1804" spans="5:8" x14ac:dyDescent="0.25">
      <c r="E1804" t="str">
        <f>""</f>
        <v/>
      </c>
      <c r="F1804" t="str">
        <f>""</f>
        <v/>
      </c>
      <c r="G1804" s="4">
        <v>1.88</v>
      </c>
      <c r="H1804" t="str">
        <f t="shared" si="30"/>
        <v>GUARDIAN</v>
      </c>
    </row>
    <row r="1805" spans="5:8" x14ac:dyDescent="0.25">
      <c r="E1805" t="str">
        <f>""</f>
        <v/>
      </c>
      <c r="F1805" t="str">
        <f>""</f>
        <v/>
      </c>
      <c r="G1805" s="4">
        <v>16.940000000000001</v>
      </c>
      <c r="H1805" t="str">
        <f t="shared" si="30"/>
        <v>GUARDIAN</v>
      </c>
    </row>
    <row r="1806" spans="5:8" x14ac:dyDescent="0.25">
      <c r="E1806" t="str">
        <f>""</f>
        <v/>
      </c>
      <c r="F1806" t="str">
        <f>""</f>
        <v/>
      </c>
      <c r="G1806" s="4">
        <v>6.45</v>
      </c>
      <c r="H1806" t="str">
        <f t="shared" si="30"/>
        <v>GUARDIAN</v>
      </c>
    </row>
    <row r="1807" spans="5:8" x14ac:dyDescent="0.25">
      <c r="E1807" t="str">
        <f>""</f>
        <v/>
      </c>
      <c r="F1807" t="str">
        <f>""</f>
        <v/>
      </c>
      <c r="G1807" s="4">
        <v>2.15</v>
      </c>
      <c r="H1807" t="str">
        <f t="shared" si="30"/>
        <v>GUARDIAN</v>
      </c>
    </row>
    <row r="1808" spans="5:8" x14ac:dyDescent="0.25">
      <c r="E1808" t="str">
        <f>""</f>
        <v/>
      </c>
      <c r="F1808" t="str">
        <f>""</f>
        <v/>
      </c>
      <c r="G1808" s="4">
        <v>12.9</v>
      </c>
      <c r="H1808" t="str">
        <f t="shared" si="30"/>
        <v>GUARDIAN</v>
      </c>
    </row>
    <row r="1809" spans="5:8" x14ac:dyDescent="0.25">
      <c r="E1809" t="str">
        <f>""</f>
        <v/>
      </c>
      <c r="F1809" t="str">
        <f>""</f>
        <v/>
      </c>
      <c r="G1809" s="4">
        <v>43</v>
      </c>
      <c r="H1809" t="str">
        <f t="shared" si="30"/>
        <v>GUARDIAN</v>
      </c>
    </row>
    <row r="1810" spans="5:8" x14ac:dyDescent="0.25">
      <c r="E1810" t="str">
        <f>""</f>
        <v/>
      </c>
      <c r="F1810" t="str">
        <f>""</f>
        <v/>
      </c>
      <c r="G1810" s="4">
        <v>6.14</v>
      </c>
      <c r="H1810" t="str">
        <f t="shared" si="30"/>
        <v>GUARDIAN</v>
      </c>
    </row>
    <row r="1811" spans="5:8" x14ac:dyDescent="0.25">
      <c r="E1811" t="str">
        <f>""</f>
        <v/>
      </c>
      <c r="F1811" t="str">
        <f>""</f>
        <v/>
      </c>
      <c r="G1811" s="4">
        <v>10.75</v>
      </c>
      <c r="H1811" t="str">
        <f t="shared" si="30"/>
        <v>GUARDIAN</v>
      </c>
    </row>
    <row r="1812" spans="5:8" x14ac:dyDescent="0.25">
      <c r="E1812" t="str">
        <f>""</f>
        <v/>
      </c>
      <c r="F1812" t="str">
        <f>""</f>
        <v/>
      </c>
      <c r="G1812" s="4">
        <v>23.65</v>
      </c>
      <c r="H1812" t="str">
        <f t="shared" si="30"/>
        <v>GUARDIAN</v>
      </c>
    </row>
    <row r="1813" spans="5:8" x14ac:dyDescent="0.25">
      <c r="E1813" t="str">
        <f>""</f>
        <v/>
      </c>
      <c r="F1813" t="str">
        <f>""</f>
        <v/>
      </c>
      <c r="G1813" s="4">
        <v>8.6</v>
      </c>
      <c r="H1813" t="str">
        <f t="shared" si="30"/>
        <v>GUARDIAN</v>
      </c>
    </row>
    <row r="1814" spans="5:8" x14ac:dyDescent="0.25">
      <c r="E1814" t="str">
        <f>""</f>
        <v/>
      </c>
      <c r="F1814" t="str">
        <f>""</f>
        <v/>
      </c>
      <c r="G1814" s="4">
        <v>8.6</v>
      </c>
      <c r="H1814" t="str">
        <f t="shared" si="30"/>
        <v>GUARDIAN</v>
      </c>
    </row>
    <row r="1815" spans="5:8" x14ac:dyDescent="0.25">
      <c r="E1815" t="str">
        <f>""</f>
        <v/>
      </c>
      <c r="F1815" t="str">
        <f>""</f>
        <v/>
      </c>
      <c r="G1815" s="4">
        <v>8.6</v>
      </c>
      <c r="H1815" t="str">
        <f t="shared" si="30"/>
        <v>GUARDIAN</v>
      </c>
    </row>
    <row r="1816" spans="5:8" x14ac:dyDescent="0.25">
      <c r="E1816" t="str">
        <f>""</f>
        <v/>
      </c>
      <c r="F1816" t="str">
        <f>""</f>
        <v/>
      </c>
      <c r="G1816" s="4">
        <v>6.45</v>
      </c>
      <c r="H1816" t="str">
        <f t="shared" si="30"/>
        <v>GUARDIAN</v>
      </c>
    </row>
    <row r="1817" spans="5:8" x14ac:dyDescent="0.25">
      <c r="E1817" t="str">
        <f>""</f>
        <v/>
      </c>
      <c r="F1817" t="str">
        <f>""</f>
        <v/>
      </c>
      <c r="G1817" s="4">
        <v>4.3</v>
      </c>
      <c r="H1817" t="str">
        <f t="shared" si="30"/>
        <v>GUARDIAN</v>
      </c>
    </row>
    <row r="1818" spans="5:8" x14ac:dyDescent="0.25">
      <c r="E1818" t="str">
        <f>""</f>
        <v/>
      </c>
      <c r="F1818" t="str">
        <f>""</f>
        <v/>
      </c>
      <c r="G1818" s="4">
        <v>31.99</v>
      </c>
      <c r="H1818" t="str">
        <f t="shared" si="30"/>
        <v>GUARDIAN</v>
      </c>
    </row>
    <row r="1819" spans="5:8" x14ac:dyDescent="0.25">
      <c r="E1819" t="str">
        <f>""</f>
        <v/>
      </c>
      <c r="F1819" t="str">
        <f>""</f>
        <v/>
      </c>
      <c r="G1819" s="4">
        <v>17.2</v>
      </c>
      <c r="H1819" t="str">
        <f t="shared" si="30"/>
        <v>GUARDIAN</v>
      </c>
    </row>
    <row r="1820" spans="5:8" x14ac:dyDescent="0.25">
      <c r="E1820" t="str">
        <f>""</f>
        <v/>
      </c>
      <c r="F1820" t="str">
        <f>""</f>
        <v/>
      </c>
      <c r="G1820" s="4">
        <v>8.6</v>
      </c>
      <c r="H1820" t="str">
        <f t="shared" si="30"/>
        <v>GUARDIAN</v>
      </c>
    </row>
    <row r="1821" spans="5:8" x14ac:dyDescent="0.25">
      <c r="E1821" t="str">
        <f>""</f>
        <v/>
      </c>
      <c r="F1821" t="str">
        <f>""</f>
        <v/>
      </c>
      <c r="G1821" s="4">
        <v>8.6</v>
      </c>
      <c r="H1821" t="str">
        <f t="shared" si="30"/>
        <v>GUARDIAN</v>
      </c>
    </row>
    <row r="1822" spans="5:8" x14ac:dyDescent="0.25">
      <c r="E1822" t="str">
        <f>""</f>
        <v/>
      </c>
      <c r="F1822" t="str">
        <f>""</f>
        <v/>
      </c>
      <c r="G1822" s="4">
        <v>30.1</v>
      </c>
      <c r="H1822" t="str">
        <f t="shared" si="30"/>
        <v>GUARDIAN</v>
      </c>
    </row>
    <row r="1823" spans="5:8" x14ac:dyDescent="0.25">
      <c r="E1823" t="str">
        <f>""</f>
        <v/>
      </c>
      <c r="F1823" t="str">
        <f>""</f>
        <v/>
      </c>
      <c r="G1823" s="4">
        <v>12.9</v>
      </c>
      <c r="H1823" t="str">
        <f t="shared" si="30"/>
        <v>GUARDIAN</v>
      </c>
    </row>
    <row r="1824" spans="5:8" x14ac:dyDescent="0.25">
      <c r="E1824" t="str">
        <f>""</f>
        <v/>
      </c>
      <c r="F1824" t="str">
        <f>""</f>
        <v/>
      </c>
      <c r="G1824" s="4">
        <v>23.65</v>
      </c>
      <c r="H1824" t="str">
        <f t="shared" si="30"/>
        <v>GUARDIAN</v>
      </c>
    </row>
    <row r="1825" spans="5:8" x14ac:dyDescent="0.25">
      <c r="E1825" t="str">
        <f>""</f>
        <v/>
      </c>
      <c r="F1825" t="str">
        <f>""</f>
        <v/>
      </c>
      <c r="G1825" s="4">
        <v>27.95</v>
      </c>
      <c r="H1825" t="str">
        <f t="shared" si="30"/>
        <v>GUARDIAN</v>
      </c>
    </row>
    <row r="1826" spans="5:8" x14ac:dyDescent="0.25">
      <c r="E1826" t="str">
        <f>""</f>
        <v/>
      </c>
      <c r="F1826" t="str">
        <f>""</f>
        <v/>
      </c>
      <c r="G1826" s="4">
        <v>47.33</v>
      </c>
      <c r="H1826" t="str">
        <f t="shared" si="30"/>
        <v>GUARDIAN</v>
      </c>
    </row>
    <row r="1827" spans="5:8" x14ac:dyDescent="0.25">
      <c r="E1827" t="str">
        <f>""</f>
        <v/>
      </c>
      <c r="F1827" t="str">
        <f>""</f>
        <v/>
      </c>
      <c r="G1827" s="4">
        <v>2.15</v>
      </c>
      <c r="H1827" t="str">
        <f t="shared" si="30"/>
        <v>GUARDIAN</v>
      </c>
    </row>
    <row r="1828" spans="5:8" x14ac:dyDescent="0.25">
      <c r="E1828" t="str">
        <f>""</f>
        <v/>
      </c>
      <c r="F1828" t="str">
        <f>""</f>
        <v/>
      </c>
      <c r="G1828" s="4">
        <v>2.15</v>
      </c>
      <c r="H1828" t="str">
        <f t="shared" si="30"/>
        <v>GUARDIAN</v>
      </c>
    </row>
    <row r="1829" spans="5:8" x14ac:dyDescent="0.25">
      <c r="E1829" t="str">
        <f>""</f>
        <v/>
      </c>
      <c r="F1829" t="str">
        <f>""</f>
        <v/>
      </c>
      <c r="G1829" s="4">
        <v>2.15</v>
      </c>
      <c r="H1829" t="str">
        <f t="shared" si="30"/>
        <v>GUARDIAN</v>
      </c>
    </row>
    <row r="1830" spans="5:8" x14ac:dyDescent="0.25">
      <c r="E1830" t="str">
        <f>""</f>
        <v/>
      </c>
      <c r="F1830" t="str">
        <f>""</f>
        <v/>
      </c>
      <c r="G1830" s="4">
        <v>195.92</v>
      </c>
      <c r="H1830" t="str">
        <f t="shared" ref="H1830:H1859" si="31">"GUARDIAN"</f>
        <v>GUARDIAN</v>
      </c>
    </row>
    <row r="1831" spans="5:8" x14ac:dyDescent="0.25">
      <c r="E1831" t="str">
        <f>""</f>
        <v/>
      </c>
      <c r="F1831" t="str">
        <f>""</f>
        <v/>
      </c>
      <c r="G1831" s="4">
        <v>8.48</v>
      </c>
      <c r="H1831" t="str">
        <f t="shared" si="31"/>
        <v>GUARDIAN</v>
      </c>
    </row>
    <row r="1832" spans="5:8" x14ac:dyDescent="0.25">
      <c r="E1832" t="str">
        <f>""</f>
        <v/>
      </c>
      <c r="F1832" t="str">
        <f>""</f>
        <v/>
      </c>
      <c r="G1832" s="4">
        <v>174.01</v>
      </c>
      <c r="H1832" t="str">
        <f t="shared" si="31"/>
        <v>GUARDIAN</v>
      </c>
    </row>
    <row r="1833" spans="5:8" x14ac:dyDescent="0.25">
      <c r="E1833" t="str">
        <f>""</f>
        <v/>
      </c>
      <c r="F1833" t="str">
        <f>""</f>
        <v/>
      </c>
      <c r="G1833" s="4">
        <v>36.549999999999997</v>
      </c>
      <c r="H1833" t="str">
        <f t="shared" si="31"/>
        <v>GUARDIAN</v>
      </c>
    </row>
    <row r="1834" spans="5:8" x14ac:dyDescent="0.25">
      <c r="E1834" t="str">
        <f>""</f>
        <v/>
      </c>
      <c r="F1834" t="str">
        <f>""</f>
        <v/>
      </c>
      <c r="G1834" s="4">
        <v>2.15</v>
      </c>
      <c r="H1834" t="str">
        <f t="shared" si="31"/>
        <v>GUARDIAN</v>
      </c>
    </row>
    <row r="1835" spans="5:8" x14ac:dyDescent="0.25">
      <c r="E1835" t="str">
        <f>""</f>
        <v/>
      </c>
      <c r="F1835" t="str">
        <f>""</f>
        <v/>
      </c>
      <c r="G1835" s="4">
        <v>6.45</v>
      </c>
      <c r="H1835" t="str">
        <f t="shared" si="31"/>
        <v>GUARDIAN</v>
      </c>
    </row>
    <row r="1836" spans="5:8" x14ac:dyDescent="0.25">
      <c r="E1836" t="str">
        <f>""</f>
        <v/>
      </c>
      <c r="F1836" t="str">
        <f>""</f>
        <v/>
      </c>
      <c r="G1836" s="4">
        <v>0.26</v>
      </c>
      <c r="H1836" t="str">
        <f t="shared" si="31"/>
        <v>GUARDIAN</v>
      </c>
    </row>
    <row r="1837" spans="5:8" x14ac:dyDescent="0.25">
      <c r="E1837" t="str">
        <f>""</f>
        <v/>
      </c>
      <c r="F1837" t="str">
        <f>""</f>
        <v/>
      </c>
      <c r="G1837" s="4">
        <v>6.45</v>
      </c>
      <c r="H1837" t="str">
        <f t="shared" si="31"/>
        <v>GUARDIAN</v>
      </c>
    </row>
    <row r="1838" spans="5:8" x14ac:dyDescent="0.25">
      <c r="E1838" t="str">
        <f>""</f>
        <v/>
      </c>
      <c r="F1838" t="str">
        <f>""</f>
        <v/>
      </c>
      <c r="G1838" s="4">
        <v>2.15</v>
      </c>
      <c r="H1838" t="str">
        <f t="shared" si="31"/>
        <v>GUARDIAN</v>
      </c>
    </row>
    <row r="1839" spans="5:8" x14ac:dyDescent="0.25">
      <c r="E1839" t="str">
        <f>""</f>
        <v/>
      </c>
      <c r="F1839" t="str">
        <f>""</f>
        <v/>
      </c>
      <c r="G1839" s="4">
        <v>8.6</v>
      </c>
      <c r="H1839" t="str">
        <f t="shared" si="31"/>
        <v>GUARDIAN</v>
      </c>
    </row>
    <row r="1840" spans="5:8" x14ac:dyDescent="0.25">
      <c r="E1840" t="str">
        <f>""</f>
        <v/>
      </c>
      <c r="F1840" t="str">
        <f>""</f>
        <v/>
      </c>
      <c r="G1840" s="4">
        <v>4.3</v>
      </c>
      <c r="H1840" t="str">
        <f t="shared" si="31"/>
        <v>GUARDIAN</v>
      </c>
    </row>
    <row r="1841" spans="5:8" x14ac:dyDescent="0.25">
      <c r="E1841" t="str">
        <f>""</f>
        <v/>
      </c>
      <c r="F1841" t="str">
        <f>""</f>
        <v/>
      </c>
      <c r="G1841" s="4">
        <v>2.41</v>
      </c>
      <c r="H1841" t="str">
        <f t="shared" si="31"/>
        <v>GUARDIAN</v>
      </c>
    </row>
    <row r="1842" spans="5:8" x14ac:dyDescent="0.25">
      <c r="E1842" t="str">
        <f>""</f>
        <v/>
      </c>
      <c r="F1842" t="str">
        <f>""</f>
        <v/>
      </c>
      <c r="G1842" s="4">
        <v>26.33</v>
      </c>
      <c r="H1842" t="str">
        <f t="shared" si="31"/>
        <v>GUARDIAN</v>
      </c>
    </row>
    <row r="1843" spans="5:8" x14ac:dyDescent="0.25">
      <c r="E1843" t="str">
        <f>""</f>
        <v/>
      </c>
      <c r="F1843" t="str">
        <f>""</f>
        <v/>
      </c>
      <c r="G1843" s="4">
        <v>29.69</v>
      </c>
      <c r="H1843" t="str">
        <f t="shared" si="31"/>
        <v>GUARDIAN</v>
      </c>
    </row>
    <row r="1844" spans="5:8" x14ac:dyDescent="0.25">
      <c r="E1844" t="str">
        <f>""</f>
        <v/>
      </c>
      <c r="F1844" t="str">
        <f>""</f>
        <v/>
      </c>
      <c r="G1844" s="4">
        <v>29.69</v>
      </c>
      <c r="H1844" t="str">
        <f t="shared" si="31"/>
        <v>GUARDIAN</v>
      </c>
    </row>
    <row r="1845" spans="5:8" x14ac:dyDescent="0.25">
      <c r="E1845" t="str">
        <f>""</f>
        <v/>
      </c>
      <c r="F1845" t="str">
        <f>""</f>
        <v/>
      </c>
      <c r="G1845" s="4">
        <v>26.33</v>
      </c>
      <c r="H1845" t="str">
        <f t="shared" si="31"/>
        <v>GUARDIAN</v>
      </c>
    </row>
    <row r="1846" spans="5:8" x14ac:dyDescent="0.25">
      <c r="E1846" t="str">
        <f>""</f>
        <v/>
      </c>
      <c r="F1846" t="str">
        <f>""</f>
        <v/>
      </c>
      <c r="G1846" s="4">
        <v>1.89</v>
      </c>
      <c r="H1846" t="str">
        <f t="shared" si="31"/>
        <v>GUARDIAN</v>
      </c>
    </row>
    <row r="1847" spans="5:8" x14ac:dyDescent="0.25">
      <c r="E1847" t="str">
        <f>""</f>
        <v/>
      </c>
      <c r="F1847" t="str">
        <f>""</f>
        <v/>
      </c>
      <c r="G1847" s="4">
        <v>0.09</v>
      </c>
      <c r="H1847" t="str">
        <f t="shared" si="31"/>
        <v>GUARDIAN</v>
      </c>
    </row>
    <row r="1848" spans="5:8" x14ac:dyDescent="0.25">
      <c r="E1848" t="str">
        <f>""</f>
        <v/>
      </c>
      <c r="F1848" t="str">
        <f>""</f>
        <v/>
      </c>
      <c r="G1848" s="4">
        <v>0.17</v>
      </c>
      <c r="H1848" t="str">
        <f t="shared" si="31"/>
        <v>GUARDIAN</v>
      </c>
    </row>
    <row r="1849" spans="5:8" x14ac:dyDescent="0.25">
      <c r="E1849" t="str">
        <f>""</f>
        <v/>
      </c>
      <c r="F1849" t="str">
        <f>""</f>
        <v/>
      </c>
      <c r="G1849" s="4">
        <v>0.31</v>
      </c>
      <c r="H1849" t="str">
        <f t="shared" si="31"/>
        <v>GUARDIAN</v>
      </c>
    </row>
    <row r="1850" spans="5:8" x14ac:dyDescent="0.25">
      <c r="E1850" t="str">
        <f>""</f>
        <v/>
      </c>
      <c r="F1850" t="str">
        <f>""</f>
        <v/>
      </c>
      <c r="G1850" s="4">
        <v>2.14</v>
      </c>
      <c r="H1850" t="str">
        <f t="shared" si="31"/>
        <v>GUARDIAN</v>
      </c>
    </row>
    <row r="1851" spans="5:8" x14ac:dyDescent="0.25">
      <c r="E1851" t="str">
        <f>""</f>
        <v/>
      </c>
      <c r="F1851" t="str">
        <f>""</f>
        <v/>
      </c>
      <c r="G1851" s="4">
        <v>2793.32</v>
      </c>
      <c r="H1851" t="str">
        <f t="shared" si="31"/>
        <v>GUARDIAN</v>
      </c>
    </row>
    <row r="1852" spans="5:8" x14ac:dyDescent="0.25">
      <c r="E1852" t="str">
        <f>"LIE202112177864"</f>
        <v>LIE202112177864</v>
      </c>
      <c r="F1852" t="str">
        <f>"GUARDIAN"</f>
        <v>GUARDIAN</v>
      </c>
      <c r="G1852" s="4">
        <v>32.25</v>
      </c>
      <c r="H1852" t="str">
        <f t="shared" si="31"/>
        <v>GUARDIAN</v>
      </c>
    </row>
    <row r="1853" spans="5:8" x14ac:dyDescent="0.25">
      <c r="E1853" t="str">
        <f>""</f>
        <v/>
      </c>
      <c r="F1853" t="str">
        <f>""</f>
        <v/>
      </c>
      <c r="G1853" s="4">
        <v>40</v>
      </c>
      <c r="H1853" t="str">
        <f t="shared" si="31"/>
        <v>GUARDIAN</v>
      </c>
    </row>
    <row r="1854" spans="5:8" x14ac:dyDescent="0.25">
      <c r="E1854" t="str">
        <f>"LIS202112077701"</f>
        <v>LIS202112077701</v>
      </c>
      <c r="F1854" t="str">
        <f t="shared" ref="F1854:F1859" si="32">"GUARDIAN"</f>
        <v>GUARDIAN</v>
      </c>
      <c r="G1854" s="4">
        <v>541.95000000000005</v>
      </c>
      <c r="H1854" t="str">
        <f t="shared" si="31"/>
        <v>GUARDIAN</v>
      </c>
    </row>
    <row r="1855" spans="5:8" x14ac:dyDescent="0.25">
      <c r="E1855" t="str">
        <f>"LIS202112077702"</f>
        <v>LIS202112077702</v>
      </c>
      <c r="F1855" t="str">
        <f t="shared" si="32"/>
        <v>GUARDIAN</v>
      </c>
      <c r="G1855" s="4">
        <v>36.75</v>
      </c>
      <c r="H1855" t="str">
        <f t="shared" si="31"/>
        <v>GUARDIAN</v>
      </c>
    </row>
    <row r="1856" spans="5:8" x14ac:dyDescent="0.25">
      <c r="E1856" t="str">
        <f>"LIS202112177863"</f>
        <v>LIS202112177863</v>
      </c>
      <c r="F1856" t="str">
        <f t="shared" si="32"/>
        <v>GUARDIAN</v>
      </c>
      <c r="G1856" s="4">
        <v>541.95000000000005</v>
      </c>
      <c r="H1856" t="str">
        <f t="shared" si="31"/>
        <v>GUARDIAN</v>
      </c>
    </row>
    <row r="1857" spans="1:8" x14ac:dyDescent="0.25">
      <c r="E1857" t="str">
        <f>"LIS202112177864"</f>
        <v>LIS202112177864</v>
      </c>
      <c r="F1857" t="str">
        <f t="shared" si="32"/>
        <v>GUARDIAN</v>
      </c>
      <c r="G1857" s="4">
        <v>36.75</v>
      </c>
      <c r="H1857" t="str">
        <f t="shared" si="31"/>
        <v>GUARDIAN</v>
      </c>
    </row>
    <row r="1858" spans="1:8" x14ac:dyDescent="0.25">
      <c r="E1858" t="str">
        <f>"LTD202112077701"</f>
        <v>LTD202112077701</v>
      </c>
      <c r="F1858" t="str">
        <f t="shared" si="32"/>
        <v>GUARDIAN</v>
      </c>
      <c r="G1858" s="4">
        <v>978.85</v>
      </c>
      <c r="H1858" t="str">
        <f t="shared" si="31"/>
        <v>GUARDIAN</v>
      </c>
    </row>
    <row r="1859" spans="1:8" x14ac:dyDescent="0.25">
      <c r="E1859" t="str">
        <f>"LTD202112177863"</f>
        <v>LTD202112177863</v>
      </c>
      <c r="F1859" t="str">
        <f t="shared" si="32"/>
        <v>GUARDIAN</v>
      </c>
      <c r="G1859" s="4">
        <v>978.85</v>
      </c>
      <c r="H1859" t="str">
        <f t="shared" si="31"/>
        <v>GUARDIAN</v>
      </c>
    </row>
    <row r="1860" spans="1:8" x14ac:dyDescent="0.25">
      <c r="A1860" t="s">
        <v>421</v>
      </c>
      <c r="B1860">
        <v>1532</v>
      </c>
      <c r="C1860" s="4">
        <v>92.85</v>
      </c>
      <c r="D1860" s="1">
        <v>44557</v>
      </c>
      <c r="E1860" t="str">
        <f>"202112277972"</f>
        <v>202112277972</v>
      </c>
      <c r="F1860" t="str">
        <f>"ADJ - DECEMBER 2021"</f>
        <v>ADJ - DECEMBER 2021</v>
      </c>
      <c r="G1860" s="4">
        <v>-7.0000000000000007E-2</v>
      </c>
      <c r="H1860" t="str">
        <f>"ADJ - DECEMBER 2021"</f>
        <v>ADJ - DECEMBER 2021</v>
      </c>
    </row>
    <row r="1861" spans="1:8" x14ac:dyDescent="0.25">
      <c r="E1861" t="str">
        <f>"AEG202112077701"</f>
        <v>AEG202112077701</v>
      </c>
      <c r="F1861" t="str">
        <f>"GUARDIAN"</f>
        <v>GUARDIAN</v>
      </c>
      <c r="G1861" s="4">
        <v>12.48</v>
      </c>
      <c r="H1861" t="str">
        <f>"GUARDIAN"</f>
        <v>GUARDIAN</v>
      </c>
    </row>
    <row r="1862" spans="1:8" x14ac:dyDescent="0.25">
      <c r="E1862" t="str">
        <f>"AEG202112177863"</f>
        <v>AEG202112177863</v>
      </c>
      <c r="F1862" t="str">
        <f>"GUARDIAN"</f>
        <v>GUARDIAN</v>
      </c>
      <c r="G1862" s="4">
        <v>12.48</v>
      </c>
      <c r="H1862" t="str">
        <f>"GUARDIAN"</f>
        <v>GUARDIAN</v>
      </c>
    </row>
    <row r="1863" spans="1:8" x14ac:dyDescent="0.25">
      <c r="E1863" t="str">
        <f>"AFG202112077701"</f>
        <v>AFG202112077701</v>
      </c>
      <c r="F1863" t="str">
        <f>"GUARDIAN"</f>
        <v>GUARDIAN</v>
      </c>
      <c r="G1863" s="4">
        <v>33.979999999999997</v>
      </c>
      <c r="H1863" t="str">
        <f>"GUARDIAN"</f>
        <v>GUARDIAN</v>
      </c>
    </row>
    <row r="1864" spans="1:8" x14ac:dyDescent="0.25">
      <c r="E1864" t="str">
        <f>"AFG202112177863"</f>
        <v>AFG202112177863</v>
      </c>
      <c r="F1864" t="str">
        <f>"GUARDIAN"</f>
        <v>GUARDIAN</v>
      </c>
      <c r="G1864" s="4">
        <v>33.979999999999997</v>
      </c>
      <c r="H1864" t="str">
        <f>"GUARDIAN"</f>
        <v>GUARDIAN</v>
      </c>
    </row>
    <row r="1865" spans="1:8" x14ac:dyDescent="0.25">
      <c r="A1865" t="s">
        <v>422</v>
      </c>
      <c r="B1865">
        <v>1476</v>
      </c>
      <c r="C1865" s="4">
        <v>390</v>
      </c>
      <c r="D1865" s="1">
        <v>44540</v>
      </c>
      <c r="E1865" t="str">
        <f>"C97202112077701"</f>
        <v>C97202112077701</v>
      </c>
      <c r="F1865" t="str">
        <f>"0008314890"</f>
        <v>0008314890</v>
      </c>
      <c r="G1865" s="4">
        <v>390</v>
      </c>
      <c r="H1865" t="str">
        <f>"0008314890"</f>
        <v>0008314890</v>
      </c>
    </row>
    <row r="1866" spans="1:8" x14ac:dyDescent="0.25">
      <c r="A1866" t="s">
        <v>422</v>
      </c>
      <c r="B1866">
        <v>1520</v>
      </c>
      <c r="C1866" s="4">
        <v>390</v>
      </c>
      <c r="D1866" s="1">
        <v>44552</v>
      </c>
      <c r="E1866" t="str">
        <f>"C97202112177863"</f>
        <v>C97202112177863</v>
      </c>
      <c r="F1866" t="str">
        <f>"0008314890"</f>
        <v>0008314890</v>
      </c>
      <c r="G1866" s="4">
        <v>390</v>
      </c>
      <c r="H1866" t="str">
        <f>"0008314890"</f>
        <v>0008314890</v>
      </c>
    </row>
    <row r="1867" spans="1:8" x14ac:dyDescent="0.25">
      <c r="A1867" t="s">
        <v>423</v>
      </c>
      <c r="B1867">
        <v>1477</v>
      </c>
      <c r="C1867" s="4">
        <v>246794.88</v>
      </c>
      <c r="D1867" s="1">
        <v>44540</v>
      </c>
      <c r="E1867" t="str">
        <f>"T1 202112077701"</f>
        <v>T1 202112077701</v>
      </c>
      <c r="F1867" t="str">
        <f>"FEDERAL WITHHOLDING"</f>
        <v>FEDERAL WITHHOLDING</v>
      </c>
      <c r="G1867" s="4">
        <v>81120.539999999994</v>
      </c>
      <c r="H1867" t="str">
        <f>"FEDERAL WITHHOLDING"</f>
        <v>FEDERAL WITHHOLDING</v>
      </c>
    </row>
    <row r="1868" spans="1:8" x14ac:dyDescent="0.25">
      <c r="E1868" t="str">
        <f>"T1 202112077702"</f>
        <v>T1 202112077702</v>
      </c>
      <c r="F1868" t="str">
        <f>"FEDERAL WITHHOLDING"</f>
        <v>FEDERAL WITHHOLDING</v>
      </c>
      <c r="G1868" s="4">
        <v>3619.98</v>
      </c>
      <c r="H1868" t="str">
        <f>"FEDERAL WITHHOLDING"</f>
        <v>FEDERAL WITHHOLDING</v>
      </c>
    </row>
    <row r="1869" spans="1:8" x14ac:dyDescent="0.25">
      <c r="E1869" t="str">
        <f>"T1 202112077703"</f>
        <v>T1 202112077703</v>
      </c>
      <c r="F1869" t="str">
        <f>"FEDERAL WITHHOLDING"</f>
        <v>FEDERAL WITHHOLDING</v>
      </c>
      <c r="G1869" s="4">
        <v>3023.18</v>
      </c>
      <c r="H1869" t="str">
        <f>"FEDERAL WITHHOLDING"</f>
        <v>FEDERAL WITHHOLDING</v>
      </c>
    </row>
    <row r="1870" spans="1:8" x14ac:dyDescent="0.25">
      <c r="E1870" t="str">
        <f>"T3 202112077701"</f>
        <v>T3 202112077701</v>
      </c>
      <c r="F1870" t="str">
        <f>"SOCIAL SECURITY TAXES"</f>
        <v>SOCIAL SECURITY TAXES</v>
      </c>
      <c r="G1870" s="4">
        <v>531.22</v>
      </c>
      <c r="H1870" t="str">
        <f t="shared" ref="H1870:H1901" si="33">"SOCIAL SECURITY TAXES"</f>
        <v>SOCIAL SECURITY TAXES</v>
      </c>
    </row>
    <row r="1871" spans="1:8" x14ac:dyDescent="0.25">
      <c r="E1871" t="str">
        <f>""</f>
        <v/>
      </c>
      <c r="F1871" t="str">
        <f>""</f>
        <v/>
      </c>
      <c r="G1871" s="4">
        <v>385.58</v>
      </c>
      <c r="H1871" t="str">
        <f t="shared" si="33"/>
        <v>SOCIAL SECURITY TAXES</v>
      </c>
    </row>
    <row r="1872" spans="1:8" x14ac:dyDescent="0.25">
      <c r="E1872" t="str">
        <f>""</f>
        <v/>
      </c>
      <c r="F1872" t="str">
        <f>""</f>
        <v/>
      </c>
      <c r="G1872" s="4">
        <v>985</v>
      </c>
      <c r="H1872" t="str">
        <f t="shared" si="33"/>
        <v>SOCIAL SECURITY TAXES</v>
      </c>
    </row>
    <row r="1873" spans="5:8" x14ac:dyDescent="0.25">
      <c r="E1873" t="str">
        <f>""</f>
        <v/>
      </c>
      <c r="F1873" t="str">
        <f>""</f>
        <v/>
      </c>
      <c r="G1873" s="4">
        <v>437.85</v>
      </c>
      <c r="H1873" t="str">
        <f t="shared" si="33"/>
        <v>SOCIAL SECURITY TAXES</v>
      </c>
    </row>
    <row r="1874" spans="5:8" x14ac:dyDescent="0.25">
      <c r="E1874" t="str">
        <f>""</f>
        <v/>
      </c>
      <c r="F1874" t="str">
        <f>""</f>
        <v/>
      </c>
      <c r="G1874" s="4">
        <v>115.62</v>
      </c>
      <c r="H1874" t="str">
        <f t="shared" si="33"/>
        <v>SOCIAL SECURITY TAXES</v>
      </c>
    </row>
    <row r="1875" spans="5:8" x14ac:dyDescent="0.25">
      <c r="E1875" t="str">
        <f>""</f>
        <v/>
      </c>
      <c r="F1875" t="str">
        <f>""</f>
        <v/>
      </c>
      <c r="G1875" s="4">
        <v>842.6</v>
      </c>
      <c r="H1875" t="str">
        <f t="shared" si="33"/>
        <v>SOCIAL SECURITY TAXES</v>
      </c>
    </row>
    <row r="1876" spans="5:8" x14ac:dyDescent="0.25">
      <c r="E1876" t="str">
        <f>""</f>
        <v/>
      </c>
      <c r="F1876" t="str">
        <f>""</f>
        <v/>
      </c>
      <c r="G1876" s="4">
        <v>2578.63</v>
      </c>
      <c r="H1876" t="str">
        <f t="shared" si="33"/>
        <v>SOCIAL SECURITY TAXES</v>
      </c>
    </row>
    <row r="1877" spans="5:8" x14ac:dyDescent="0.25">
      <c r="E1877" t="str">
        <f>""</f>
        <v/>
      </c>
      <c r="F1877" t="str">
        <f>""</f>
        <v/>
      </c>
      <c r="G1877" s="4">
        <v>411.5</v>
      </c>
      <c r="H1877" t="str">
        <f t="shared" si="33"/>
        <v>SOCIAL SECURITY TAXES</v>
      </c>
    </row>
    <row r="1878" spans="5:8" x14ac:dyDescent="0.25">
      <c r="E1878" t="str">
        <f>""</f>
        <v/>
      </c>
      <c r="F1878" t="str">
        <f>""</f>
        <v/>
      </c>
      <c r="G1878" s="4">
        <v>865.95</v>
      </c>
      <c r="H1878" t="str">
        <f t="shared" si="33"/>
        <v>SOCIAL SECURITY TAXES</v>
      </c>
    </row>
    <row r="1879" spans="5:8" x14ac:dyDescent="0.25">
      <c r="E1879" t="str">
        <f>""</f>
        <v/>
      </c>
      <c r="F1879" t="str">
        <f>""</f>
        <v/>
      </c>
      <c r="G1879" s="4">
        <v>1528.45</v>
      </c>
      <c r="H1879" t="str">
        <f t="shared" si="33"/>
        <v>SOCIAL SECURITY TAXES</v>
      </c>
    </row>
    <row r="1880" spans="5:8" x14ac:dyDescent="0.25">
      <c r="E1880" t="str">
        <f>""</f>
        <v/>
      </c>
      <c r="F1880" t="str">
        <f>""</f>
        <v/>
      </c>
      <c r="G1880" s="4">
        <v>455.1</v>
      </c>
      <c r="H1880" t="str">
        <f t="shared" si="33"/>
        <v>SOCIAL SECURITY TAXES</v>
      </c>
    </row>
    <row r="1881" spans="5:8" x14ac:dyDescent="0.25">
      <c r="E1881" t="str">
        <f>""</f>
        <v/>
      </c>
      <c r="F1881" t="str">
        <f>""</f>
        <v/>
      </c>
      <c r="G1881" s="4">
        <v>469.52</v>
      </c>
      <c r="H1881" t="str">
        <f t="shared" si="33"/>
        <v>SOCIAL SECURITY TAXES</v>
      </c>
    </row>
    <row r="1882" spans="5:8" x14ac:dyDescent="0.25">
      <c r="E1882" t="str">
        <f>""</f>
        <v/>
      </c>
      <c r="F1882" t="str">
        <f>""</f>
        <v/>
      </c>
      <c r="G1882" s="4">
        <v>392.13</v>
      </c>
      <c r="H1882" t="str">
        <f t="shared" si="33"/>
        <v>SOCIAL SECURITY TAXES</v>
      </c>
    </row>
    <row r="1883" spans="5:8" x14ac:dyDescent="0.25">
      <c r="E1883" t="str">
        <f>""</f>
        <v/>
      </c>
      <c r="F1883" t="str">
        <f>""</f>
        <v/>
      </c>
      <c r="G1883" s="4">
        <v>409.09</v>
      </c>
      <c r="H1883" t="str">
        <f t="shared" si="33"/>
        <v>SOCIAL SECURITY TAXES</v>
      </c>
    </row>
    <row r="1884" spans="5:8" x14ac:dyDescent="0.25">
      <c r="E1884" t="str">
        <f>""</f>
        <v/>
      </c>
      <c r="F1884" t="str">
        <f>""</f>
        <v/>
      </c>
      <c r="G1884" s="4">
        <v>266.56</v>
      </c>
      <c r="H1884" t="str">
        <f t="shared" si="33"/>
        <v>SOCIAL SECURITY TAXES</v>
      </c>
    </row>
    <row r="1885" spans="5:8" x14ac:dyDescent="0.25">
      <c r="E1885" t="str">
        <f>""</f>
        <v/>
      </c>
      <c r="F1885" t="str">
        <f>""</f>
        <v/>
      </c>
      <c r="G1885" s="4">
        <v>2697.59</v>
      </c>
      <c r="H1885" t="str">
        <f t="shared" si="33"/>
        <v>SOCIAL SECURITY TAXES</v>
      </c>
    </row>
    <row r="1886" spans="5:8" x14ac:dyDescent="0.25">
      <c r="E1886" t="str">
        <f>""</f>
        <v/>
      </c>
      <c r="F1886" t="str">
        <f>""</f>
        <v/>
      </c>
      <c r="G1886" s="4">
        <v>1133.6600000000001</v>
      </c>
      <c r="H1886" t="str">
        <f t="shared" si="33"/>
        <v>SOCIAL SECURITY TAXES</v>
      </c>
    </row>
    <row r="1887" spans="5:8" x14ac:dyDescent="0.25">
      <c r="E1887" t="str">
        <f>""</f>
        <v/>
      </c>
      <c r="F1887" t="str">
        <f>""</f>
        <v/>
      </c>
      <c r="G1887" s="4">
        <v>497.27</v>
      </c>
      <c r="H1887" t="str">
        <f t="shared" si="33"/>
        <v>SOCIAL SECURITY TAXES</v>
      </c>
    </row>
    <row r="1888" spans="5:8" x14ac:dyDescent="0.25">
      <c r="E1888" t="str">
        <f>""</f>
        <v/>
      </c>
      <c r="F1888" t="str">
        <f>""</f>
        <v/>
      </c>
      <c r="G1888" s="4">
        <v>485.22</v>
      </c>
      <c r="H1888" t="str">
        <f t="shared" si="33"/>
        <v>SOCIAL SECURITY TAXES</v>
      </c>
    </row>
    <row r="1889" spans="5:8" x14ac:dyDescent="0.25">
      <c r="E1889" t="str">
        <f>""</f>
        <v/>
      </c>
      <c r="F1889" t="str">
        <f>""</f>
        <v/>
      </c>
      <c r="G1889" s="4">
        <v>1546.2</v>
      </c>
      <c r="H1889" t="str">
        <f t="shared" si="33"/>
        <v>SOCIAL SECURITY TAXES</v>
      </c>
    </row>
    <row r="1890" spans="5:8" x14ac:dyDescent="0.25">
      <c r="E1890" t="str">
        <f>""</f>
        <v/>
      </c>
      <c r="F1890" t="str">
        <f>""</f>
        <v/>
      </c>
      <c r="G1890" s="4">
        <v>729.72</v>
      </c>
      <c r="H1890" t="str">
        <f t="shared" si="33"/>
        <v>SOCIAL SECURITY TAXES</v>
      </c>
    </row>
    <row r="1891" spans="5:8" x14ac:dyDescent="0.25">
      <c r="E1891" t="str">
        <f>""</f>
        <v/>
      </c>
      <c r="F1891" t="str">
        <f>""</f>
        <v/>
      </c>
      <c r="G1891" s="4">
        <v>1802.08</v>
      </c>
      <c r="H1891" t="str">
        <f t="shared" si="33"/>
        <v>SOCIAL SECURITY TAXES</v>
      </c>
    </row>
    <row r="1892" spans="5:8" x14ac:dyDescent="0.25">
      <c r="E1892" t="str">
        <f>""</f>
        <v/>
      </c>
      <c r="F1892" t="str">
        <f>""</f>
        <v/>
      </c>
      <c r="G1892" s="4">
        <v>1218.3399999999999</v>
      </c>
      <c r="H1892" t="str">
        <f t="shared" si="33"/>
        <v>SOCIAL SECURITY TAXES</v>
      </c>
    </row>
    <row r="1893" spans="5:8" x14ac:dyDescent="0.25">
      <c r="E1893" t="str">
        <f>""</f>
        <v/>
      </c>
      <c r="F1893" t="str">
        <f>""</f>
        <v/>
      </c>
      <c r="G1893" s="4">
        <v>2401.87</v>
      </c>
      <c r="H1893" t="str">
        <f t="shared" si="33"/>
        <v>SOCIAL SECURITY TAXES</v>
      </c>
    </row>
    <row r="1894" spans="5:8" x14ac:dyDescent="0.25">
      <c r="E1894" t="str">
        <f>""</f>
        <v/>
      </c>
      <c r="F1894" t="str">
        <f>""</f>
        <v/>
      </c>
      <c r="G1894" s="4">
        <v>127.07</v>
      </c>
      <c r="H1894" t="str">
        <f t="shared" si="33"/>
        <v>SOCIAL SECURITY TAXES</v>
      </c>
    </row>
    <row r="1895" spans="5:8" x14ac:dyDescent="0.25">
      <c r="E1895" t="str">
        <f>""</f>
        <v/>
      </c>
      <c r="F1895" t="str">
        <f>""</f>
        <v/>
      </c>
      <c r="G1895" s="4">
        <v>140.62</v>
      </c>
      <c r="H1895" t="str">
        <f t="shared" si="33"/>
        <v>SOCIAL SECURITY TAXES</v>
      </c>
    </row>
    <row r="1896" spans="5:8" x14ac:dyDescent="0.25">
      <c r="E1896" t="str">
        <f>""</f>
        <v/>
      </c>
      <c r="F1896" t="str">
        <f>""</f>
        <v/>
      </c>
      <c r="G1896" s="4">
        <v>133.58000000000001</v>
      </c>
      <c r="H1896" t="str">
        <f t="shared" si="33"/>
        <v>SOCIAL SECURITY TAXES</v>
      </c>
    </row>
    <row r="1897" spans="5:8" x14ac:dyDescent="0.25">
      <c r="E1897" t="str">
        <f>""</f>
        <v/>
      </c>
      <c r="F1897" t="str">
        <f>""</f>
        <v/>
      </c>
      <c r="G1897" s="4">
        <v>129.66</v>
      </c>
      <c r="H1897" t="str">
        <f t="shared" si="33"/>
        <v>SOCIAL SECURITY TAXES</v>
      </c>
    </row>
    <row r="1898" spans="5:8" x14ac:dyDescent="0.25">
      <c r="E1898" t="str">
        <f>""</f>
        <v/>
      </c>
      <c r="F1898" t="str">
        <f>""</f>
        <v/>
      </c>
      <c r="G1898" s="4">
        <v>13698.13</v>
      </c>
      <c r="H1898" t="str">
        <f t="shared" si="33"/>
        <v>SOCIAL SECURITY TAXES</v>
      </c>
    </row>
    <row r="1899" spans="5:8" x14ac:dyDescent="0.25">
      <c r="E1899" t="str">
        <f>""</f>
        <v/>
      </c>
      <c r="F1899" t="str">
        <f>""</f>
        <v/>
      </c>
      <c r="G1899" s="4">
        <v>543.23</v>
      </c>
      <c r="H1899" t="str">
        <f t="shared" si="33"/>
        <v>SOCIAL SECURITY TAXES</v>
      </c>
    </row>
    <row r="1900" spans="5:8" x14ac:dyDescent="0.25">
      <c r="E1900" t="str">
        <f>""</f>
        <v/>
      </c>
      <c r="F1900" t="str">
        <f>""</f>
        <v/>
      </c>
      <c r="G1900" s="4">
        <v>10852.39</v>
      </c>
      <c r="H1900" t="str">
        <f t="shared" si="33"/>
        <v>SOCIAL SECURITY TAXES</v>
      </c>
    </row>
    <row r="1901" spans="5:8" x14ac:dyDescent="0.25">
      <c r="E1901" t="str">
        <f>""</f>
        <v/>
      </c>
      <c r="F1901" t="str">
        <f>""</f>
        <v/>
      </c>
      <c r="G1901" s="4">
        <v>1873.3</v>
      </c>
      <c r="H1901" t="str">
        <f t="shared" si="33"/>
        <v>SOCIAL SECURITY TAXES</v>
      </c>
    </row>
    <row r="1902" spans="5:8" x14ac:dyDescent="0.25">
      <c r="E1902" t="str">
        <f>""</f>
        <v/>
      </c>
      <c r="F1902" t="str">
        <f>""</f>
        <v/>
      </c>
      <c r="G1902" s="4">
        <v>123.63</v>
      </c>
      <c r="H1902" t="str">
        <f t="shared" ref="H1902:H1923" si="34">"SOCIAL SECURITY TAXES"</f>
        <v>SOCIAL SECURITY TAXES</v>
      </c>
    </row>
    <row r="1903" spans="5:8" x14ac:dyDescent="0.25">
      <c r="E1903" t="str">
        <f>""</f>
        <v/>
      </c>
      <c r="F1903" t="str">
        <f>""</f>
        <v/>
      </c>
      <c r="G1903" s="4">
        <v>510.91</v>
      </c>
      <c r="H1903" t="str">
        <f t="shared" si="34"/>
        <v>SOCIAL SECURITY TAXES</v>
      </c>
    </row>
    <row r="1904" spans="5:8" x14ac:dyDescent="0.25">
      <c r="E1904" t="str">
        <f>""</f>
        <v/>
      </c>
      <c r="F1904" t="str">
        <f>""</f>
        <v/>
      </c>
      <c r="G1904" s="4">
        <v>34.619999999999997</v>
      </c>
      <c r="H1904" t="str">
        <f t="shared" si="34"/>
        <v>SOCIAL SECURITY TAXES</v>
      </c>
    </row>
    <row r="1905" spans="5:8" x14ac:dyDescent="0.25">
      <c r="E1905" t="str">
        <f>""</f>
        <v/>
      </c>
      <c r="F1905" t="str">
        <f>""</f>
        <v/>
      </c>
      <c r="G1905" s="4">
        <v>246.09</v>
      </c>
      <c r="H1905" t="str">
        <f t="shared" si="34"/>
        <v>SOCIAL SECURITY TAXES</v>
      </c>
    </row>
    <row r="1906" spans="5:8" x14ac:dyDescent="0.25">
      <c r="E1906" t="str">
        <f>""</f>
        <v/>
      </c>
      <c r="F1906" t="str">
        <f>""</f>
        <v/>
      </c>
      <c r="G1906" s="4">
        <v>118.44</v>
      </c>
      <c r="H1906" t="str">
        <f t="shared" si="34"/>
        <v>SOCIAL SECURITY TAXES</v>
      </c>
    </row>
    <row r="1907" spans="5:8" x14ac:dyDescent="0.25">
      <c r="E1907" t="str">
        <f>""</f>
        <v/>
      </c>
      <c r="F1907" t="str">
        <f>""</f>
        <v/>
      </c>
      <c r="G1907" s="4">
        <v>598.39</v>
      </c>
      <c r="H1907" t="str">
        <f t="shared" si="34"/>
        <v>SOCIAL SECURITY TAXES</v>
      </c>
    </row>
    <row r="1908" spans="5:8" x14ac:dyDescent="0.25">
      <c r="E1908" t="str">
        <f>""</f>
        <v/>
      </c>
      <c r="F1908" t="str">
        <f>""</f>
        <v/>
      </c>
      <c r="G1908" s="4">
        <v>306.87</v>
      </c>
      <c r="H1908" t="str">
        <f t="shared" si="34"/>
        <v>SOCIAL SECURITY TAXES</v>
      </c>
    </row>
    <row r="1909" spans="5:8" x14ac:dyDescent="0.25">
      <c r="E1909" t="str">
        <f>""</f>
        <v/>
      </c>
      <c r="F1909" t="str">
        <f>""</f>
        <v/>
      </c>
      <c r="G1909" s="4">
        <v>156.69999999999999</v>
      </c>
      <c r="H1909" t="str">
        <f t="shared" si="34"/>
        <v>SOCIAL SECURITY TAXES</v>
      </c>
    </row>
    <row r="1910" spans="5:8" x14ac:dyDescent="0.25">
      <c r="E1910" t="str">
        <f>""</f>
        <v/>
      </c>
      <c r="F1910" t="str">
        <f>""</f>
        <v/>
      </c>
      <c r="G1910" s="4">
        <v>1498.56</v>
      </c>
      <c r="H1910" t="str">
        <f t="shared" si="34"/>
        <v>SOCIAL SECURITY TAXES</v>
      </c>
    </row>
    <row r="1911" spans="5:8" x14ac:dyDescent="0.25">
      <c r="E1911" t="str">
        <f>""</f>
        <v/>
      </c>
      <c r="F1911" t="str">
        <f>""</f>
        <v/>
      </c>
      <c r="G1911" s="4">
        <v>1627.9</v>
      </c>
      <c r="H1911" t="str">
        <f t="shared" si="34"/>
        <v>SOCIAL SECURITY TAXES</v>
      </c>
    </row>
    <row r="1912" spans="5:8" x14ac:dyDescent="0.25">
      <c r="E1912" t="str">
        <f>""</f>
        <v/>
      </c>
      <c r="F1912" t="str">
        <f>""</f>
        <v/>
      </c>
      <c r="G1912" s="4">
        <v>1648.07</v>
      </c>
      <c r="H1912" t="str">
        <f t="shared" si="34"/>
        <v>SOCIAL SECURITY TAXES</v>
      </c>
    </row>
    <row r="1913" spans="5:8" x14ac:dyDescent="0.25">
      <c r="E1913" t="str">
        <f>""</f>
        <v/>
      </c>
      <c r="F1913" t="str">
        <f>""</f>
        <v/>
      </c>
      <c r="G1913" s="4">
        <v>1941.11</v>
      </c>
      <c r="H1913" t="str">
        <f t="shared" si="34"/>
        <v>SOCIAL SECURITY TAXES</v>
      </c>
    </row>
    <row r="1914" spans="5:8" x14ac:dyDescent="0.25">
      <c r="E1914" t="str">
        <f>""</f>
        <v/>
      </c>
      <c r="F1914" t="str">
        <f>""</f>
        <v/>
      </c>
      <c r="G1914" s="4">
        <v>232.98</v>
      </c>
      <c r="H1914" t="str">
        <f t="shared" si="34"/>
        <v>SOCIAL SECURITY TAXES</v>
      </c>
    </row>
    <row r="1915" spans="5:8" x14ac:dyDescent="0.25">
      <c r="E1915" t="str">
        <f>""</f>
        <v/>
      </c>
      <c r="F1915" t="str">
        <f>""</f>
        <v/>
      </c>
      <c r="G1915" s="4">
        <v>14.9</v>
      </c>
      <c r="H1915" t="str">
        <f t="shared" si="34"/>
        <v>SOCIAL SECURITY TAXES</v>
      </c>
    </row>
    <row r="1916" spans="5:8" x14ac:dyDescent="0.25">
      <c r="E1916" t="str">
        <f>""</f>
        <v/>
      </c>
      <c r="F1916" t="str">
        <f>""</f>
        <v/>
      </c>
      <c r="G1916" s="4">
        <v>7.16</v>
      </c>
      <c r="H1916" t="str">
        <f t="shared" si="34"/>
        <v>SOCIAL SECURITY TAXES</v>
      </c>
    </row>
    <row r="1917" spans="5:8" x14ac:dyDescent="0.25">
      <c r="E1917" t="str">
        <f>""</f>
        <v/>
      </c>
      <c r="F1917" t="str">
        <f>""</f>
        <v/>
      </c>
      <c r="G1917" s="4">
        <v>15.03</v>
      </c>
      <c r="H1917" t="str">
        <f t="shared" si="34"/>
        <v>SOCIAL SECURITY TAXES</v>
      </c>
    </row>
    <row r="1918" spans="5:8" x14ac:dyDescent="0.25">
      <c r="E1918" t="str">
        <f>""</f>
        <v/>
      </c>
      <c r="F1918" t="str">
        <f>""</f>
        <v/>
      </c>
      <c r="G1918" s="4">
        <v>20.71</v>
      </c>
      <c r="H1918" t="str">
        <f t="shared" si="34"/>
        <v>SOCIAL SECURITY TAXES</v>
      </c>
    </row>
    <row r="1919" spans="5:8" x14ac:dyDescent="0.25">
      <c r="E1919" t="str">
        <f>""</f>
        <v/>
      </c>
      <c r="F1919" t="str">
        <f>""</f>
        <v/>
      </c>
      <c r="G1919" s="4">
        <v>59786.8</v>
      </c>
      <c r="H1919" t="str">
        <f t="shared" si="34"/>
        <v>SOCIAL SECURITY TAXES</v>
      </c>
    </row>
    <row r="1920" spans="5:8" x14ac:dyDescent="0.25">
      <c r="E1920" t="str">
        <f>"T3 202112077702"</f>
        <v>T3 202112077702</v>
      </c>
      <c r="F1920" t="str">
        <f>"SOCIAL SECURITY TAXES"</f>
        <v>SOCIAL SECURITY TAXES</v>
      </c>
      <c r="G1920" s="4">
        <v>2235.66</v>
      </c>
      <c r="H1920" t="str">
        <f t="shared" si="34"/>
        <v>SOCIAL SECURITY TAXES</v>
      </c>
    </row>
    <row r="1921" spans="5:8" x14ac:dyDescent="0.25">
      <c r="E1921" t="str">
        <f>""</f>
        <v/>
      </c>
      <c r="F1921" t="str">
        <f>""</f>
        <v/>
      </c>
      <c r="G1921" s="4">
        <v>2235.66</v>
      </c>
      <c r="H1921" t="str">
        <f t="shared" si="34"/>
        <v>SOCIAL SECURITY TAXES</v>
      </c>
    </row>
    <row r="1922" spans="5:8" x14ac:dyDescent="0.25">
      <c r="E1922" t="str">
        <f>"T3 202112077703"</f>
        <v>T3 202112077703</v>
      </c>
      <c r="F1922" t="str">
        <f>"SOCIAL SECURITY TAXES"</f>
        <v>SOCIAL SECURITY TAXES</v>
      </c>
      <c r="G1922" s="4">
        <v>2269.84</v>
      </c>
      <c r="H1922" t="str">
        <f t="shared" si="34"/>
        <v>SOCIAL SECURITY TAXES</v>
      </c>
    </row>
    <row r="1923" spans="5:8" x14ac:dyDescent="0.25">
      <c r="E1923" t="str">
        <f>""</f>
        <v/>
      </c>
      <c r="F1923" t="str">
        <f>""</f>
        <v/>
      </c>
      <c r="G1923" s="4">
        <v>2269.84</v>
      </c>
      <c r="H1923" t="str">
        <f t="shared" si="34"/>
        <v>SOCIAL SECURITY TAXES</v>
      </c>
    </row>
    <row r="1924" spans="5:8" x14ac:dyDescent="0.25">
      <c r="E1924" t="str">
        <f>"T4 202112077701"</f>
        <v>T4 202112077701</v>
      </c>
      <c r="F1924" t="str">
        <f>"MEDICARE TAXES"</f>
        <v>MEDICARE TAXES</v>
      </c>
      <c r="G1924" s="4">
        <v>124.24</v>
      </c>
      <c r="H1924" t="str">
        <f t="shared" ref="H1924:H1955" si="35">"MEDICARE TAXES"</f>
        <v>MEDICARE TAXES</v>
      </c>
    </row>
    <row r="1925" spans="5:8" x14ac:dyDescent="0.25">
      <c r="E1925" t="str">
        <f>""</f>
        <v/>
      </c>
      <c r="F1925" t="str">
        <f>""</f>
        <v/>
      </c>
      <c r="G1925" s="4">
        <v>90.19</v>
      </c>
      <c r="H1925" t="str">
        <f t="shared" si="35"/>
        <v>MEDICARE TAXES</v>
      </c>
    </row>
    <row r="1926" spans="5:8" x14ac:dyDescent="0.25">
      <c r="E1926" t="str">
        <f>""</f>
        <v/>
      </c>
      <c r="F1926" t="str">
        <f>""</f>
        <v/>
      </c>
      <c r="G1926" s="4">
        <v>230.36</v>
      </c>
      <c r="H1926" t="str">
        <f t="shared" si="35"/>
        <v>MEDICARE TAXES</v>
      </c>
    </row>
    <row r="1927" spans="5:8" x14ac:dyDescent="0.25">
      <c r="E1927" t="str">
        <f>""</f>
        <v/>
      </c>
      <c r="F1927" t="str">
        <f>""</f>
        <v/>
      </c>
      <c r="G1927" s="4">
        <v>102.41</v>
      </c>
      <c r="H1927" t="str">
        <f t="shared" si="35"/>
        <v>MEDICARE TAXES</v>
      </c>
    </row>
    <row r="1928" spans="5:8" x14ac:dyDescent="0.25">
      <c r="E1928" t="str">
        <f>""</f>
        <v/>
      </c>
      <c r="F1928" t="str">
        <f>""</f>
        <v/>
      </c>
      <c r="G1928" s="4">
        <v>27.04</v>
      </c>
      <c r="H1928" t="str">
        <f t="shared" si="35"/>
        <v>MEDICARE TAXES</v>
      </c>
    </row>
    <row r="1929" spans="5:8" x14ac:dyDescent="0.25">
      <c r="E1929" t="str">
        <f>""</f>
        <v/>
      </c>
      <c r="F1929" t="str">
        <f>""</f>
        <v/>
      </c>
      <c r="G1929" s="4">
        <v>197.07</v>
      </c>
      <c r="H1929" t="str">
        <f t="shared" si="35"/>
        <v>MEDICARE TAXES</v>
      </c>
    </row>
    <row r="1930" spans="5:8" x14ac:dyDescent="0.25">
      <c r="E1930" t="str">
        <f>""</f>
        <v/>
      </c>
      <c r="F1930" t="str">
        <f>""</f>
        <v/>
      </c>
      <c r="G1930" s="4">
        <v>603.08000000000004</v>
      </c>
      <c r="H1930" t="str">
        <f t="shared" si="35"/>
        <v>MEDICARE TAXES</v>
      </c>
    </row>
    <row r="1931" spans="5:8" x14ac:dyDescent="0.25">
      <c r="E1931" t="str">
        <f>""</f>
        <v/>
      </c>
      <c r="F1931" t="str">
        <f>""</f>
        <v/>
      </c>
      <c r="G1931" s="4">
        <v>194.66</v>
      </c>
      <c r="H1931" t="str">
        <f t="shared" si="35"/>
        <v>MEDICARE TAXES</v>
      </c>
    </row>
    <row r="1932" spans="5:8" x14ac:dyDescent="0.25">
      <c r="E1932" t="str">
        <f>""</f>
        <v/>
      </c>
      <c r="F1932" t="str">
        <f>""</f>
        <v/>
      </c>
      <c r="G1932" s="4">
        <v>202.52</v>
      </c>
      <c r="H1932" t="str">
        <f t="shared" si="35"/>
        <v>MEDICARE TAXES</v>
      </c>
    </row>
    <row r="1933" spans="5:8" x14ac:dyDescent="0.25">
      <c r="E1933" t="str">
        <f>""</f>
        <v/>
      </c>
      <c r="F1933" t="str">
        <f>""</f>
        <v/>
      </c>
      <c r="G1933" s="4">
        <v>357.45</v>
      </c>
      <c r="H1933" t="str">
        <f t="shared" si="35"/>
        <v>MEDICARE TAXES</v>
      </c>
    </row>
    <row r="1934" spans="5:8" x14ac:dyDescent="0.25">
      <c r="E1934" t="str">
        <f>""</f>
        <v/>
      </c>
      <c r="F1934" t="str">
        <f>""</f>
        <v/>
      </c>
      <c r="G1934" s="4">
        <v>106.44</v>
      </c>
      <c r="H1934" t="str">
        <f t="shared" si="35"/>
        <v>MEDICARE TAXES</v>
      </c>
    </row>
    <row r="1935" spans="5:8" x14ac:dyDescent="0.25">
      <c r="E1935" t="str">
        <f>""</f>
        <v/>
      </c>
      <c r="F1935" t="str">
        <f>""</f>
        <v/>
      </c>
      <c r="G1935" s="4">
        <v>109.8</v>
      </c>
      <c r="H1935" t="str">
        <f t="shared" si="35"/>
        <v>MEDICARE TAXES</v>
      </c>
    </row>
    <row r="1936" spans="5:8" x14ac:dyDescent="0.25">
      <c r="E1936" t="str">
        <f>""</f>
        <v/>
      </c>
      <c r="F1936" t="str">
        <f>""</f>
        <v/>
      </c>
      <c r="G1936" s="4">
        <v>91.72</v>
      </c>
      <c r="H1936" t="str">
        <f t="shared" si="35"/>
        <v>MEDICARE TAXES</v>
      </c>
    </row>
    <row r="1937" spans="5:8" x14ac:dyDescent="0.25">
      <c r="E1937" t="str">
        <f>""</f>
        <v/>
      </c>
      <c r="F1937" t="str">
        <f>""</f>
        <v/>
      </c>
      <c r="G1937" s="4">
        <v>95.67</v>
      </c>
      <c r="H1937" t="str">
        <f t="shared" si="35"/>
        <v>MEDICARE TAXES</v>
      </c>
    </row>
    <row r="1938" spans="5:8" x14ac:dyDescent="0.25">
      <c r="E1938" t="str">
        <f>""</f>
        <v/>
      </c>
      <c r="F1938" t="str">
        <f>""</f>
        <v/>
      </c>
      <c r="G1938" s="4">
        <v>62.35</v>
      </c>
      <c r="H1938" t="str">
        <f t="shared" si="35"/>
        <v>MEDICARE TAXES</v>
      </c>
    </row>
    <row r="1939" spans="5:8" x14ac:dyDescent="0.25">
      <c r="E1939" t="str">
        <f>""</f>
        <v/>
      </c>
      <c r="F1939" t="str">
        <f>""</f>
        <v/>
      </c>
      <c r="G1939" s="4">
        <v>630.91</v>
      </c>
      <c r="H1939" t="str">
        <f t="shared" si="35"/>
        <v>MEDICARE TAXES</v>
      </c>
    </row>
    <row r="1940" spans="5:8" x14ac:dyDescent="0.25">
      <c r="E1940" t="str">
        <f>""</f>
        <v/>
      </c>
      <c r="F1940" t="str">
        <f>""</f>
        <v/>
      </c>
      <c r="G1940" s="4">
        <v>265.14</v>
      </c>
      <c r="H1940" t="str">
        <f t="shared" si="35"/>
        <v>MEDICARE TAXES</v>
      </c>
    </row>
    <row r="1941" spans="5:8" x14ac:dyDescent="0.25">
      <c r="E1941" t="str">
        <f>""</f>
        <v/>
      </c>
      <c r="F1941" t="str">
        <f>""</f>
        <v/>
      </c>
      <c r="G1941" s="4">
        <v>116.29</v>
      </c>
      <c r="H1941" t="str">
        <f t="shared" si="35"/>
        <v>MEDICARE TAXES</v>
      </c>
    </row>
    <row r="1942" spans="5:8" x14ac:dyDescent="0.25">
      <c r="E1942" t="str">
        <f>""</f>
        <v/>
      </c>
      <c r="F1942" t="str">
        <f>""</f>
        <v/>
      </c>
      <c r="G1942" s="4">
        <v>113.48</v>
      </c>
      <c r="H1942" t="str">
        <f t="shared" si="35"/>
        <v>MEDICARE TAXES</v>
      </c>
    </row>
    <row r="1943" spans="5:8" x14ac:dyDescent="0.25">
      <c r="E1943" t="str">
        <f>""</f>
        <v/>
      </c>
      <c r="F1943" t="str">
        <f>""</f>
        <v/>
      </c>
      <c r="G1943" s="4">
        <v>361.61</v>
      </c>
      <c r="H1943" t="str">
        <f t="shared" si="35"/>
        <v>MEDICARE TAXES</v>
      </c>
    </row>
    <row r="1944" spans="5:8" x14ac:dyDescent="0.25">
      <c r="E1944" t="str">
        <f>""</f>
        <v/>
      </c>
      <c r="F1944" t="str">
        <f>""</f>
        <v/>
      </c>
      <c r="G1944" s="4">
        <v>170.66</v>
      </c>
      <c r="H1944" t="str">
        <f t="shared" si="35"/>
        <v>MEDICARE TAXES</v>
      </c>
    </row>
    <row r="1945" spans="5:8" x14ac:dyDescent="0.25">
      <c r="E1945" t="str">
        <f>""</f>
        <v/>
      </c>
      <c r="F1945" t="str">
        <f>""</f>
        <v/>
      </c>
      <c r="G1945" s="4">
        <v>421.46</v>
      </c>
      <c r="H1945" t="str">
        <f t="shared" si="35"/>
        <v>MEDICARE TAXES</v>
      </c>
    </row>
    <row r="1946" spans="5:8" x14ac:dyDescent="0.25">
      <c r="E1946" t="str">
        <f>""</f>
        <v/>
      </c>
      <c r="F1946" t="str">
        <f>""</f>
        <v/>
      </c>
      <c r="G1946" s="4">
        <v>284.94</v>
      </c>
      <c r="H1946" t="str">
        <f t="shared" si="35"/>
        <v>MEDICARE TAXES</v>
      </c>
    </row>
    <row r="1947" spans="5:8" x14ac:dyDescent="0.25">
      <c r="E1947" t="str">
        <f>""</f>
        <v/>
      </c>
      <c r="F1947" t="str">
        <f>""</f>
        <v/>
      </c>
      <c r="G1947" s="4">
        <v>561.72</v>
      </c>
      <c r="H1947" t="str">
        <f t="shared" si="35"/>
        <v>MEDICARE TAXES</v>
      </c>
    </row>
    <row r="1948" spans="5:8" x14ac:dyDescent="0.25">
      <c r="E1948" t="str">
        <f>""</f>
        <v/>
      </c>
      <c r="F1948" t="str">
        <f>""</f>
        <v/>
      </c>
      <c r="G1948" s="4">
        <v>29.72</v>
      </c>
      <c r="H1948" t="str">
        <f t="shared" si="35"/>
        <v>MEDICARE TAXES</v>
      </c>
    </row>
    <row r="1949" spans="5:8" x14ac:dyDescent="0.25">
      <c r="E1949" t="str">
        <f>""</f>
        <v/>
      </c>
      <c r="F1949" t="str">
        <f>""</f>
        <v/>
      </c>
      <c r="G1949" s="4">
        <v>32.89</v>
      </c>
      <c r="H1949" t="str">
        <f t="shared" si="35"/>
        <v>MEDICARE TAXES</v>
      </c>
    </row>
    <row r="1950" spans="5:8" x14ac:dyDescent="0.25">
      <c r="E1950" t="str">
        <f>""</f>
        <v/>
      </c>
      <c r="F1950" t="str">
        <f>""</f>
        <v/>
      </c>
      <c r="G1950" s="4">
        <v>31.24</v>
      </c>
      <c r="H1950" t="str">
        <f t="shared" si="35"/>
        <v>MEDICARE TAXES</v>
      </c>
    </row>
    <row r="1951" spans="5:8" x14ac:dyDescent="0.25">
      <c r="E1951" t="str">
        <f>""</f>
        <v/>
      </c>
      <c r="F1951" t="str">
        <f>""</f>
        <v/>
      </c>
      <c r="G1951" s="4">
        <v>30.32</v>
      </c>
      <c r="H1951" t="str">
        <f t="shared" si="35"/>
        <v>MEDICARE TAXES</v>
      </c>
    </row>
    <row r="1952" spans="5:8" x14ac:dyDescent="0.25">
      <c r="E1952" t="str">
        <f>""</f>
        <v/>
      </c>
      <c r="F1952" t="str">
        <f>""</f>
        <v/>
      </c>
      <c r="G1952" s="4">
        <v>3203.85</v>
      </c>
      <c r="H1952" t="str">
        <f t="shared" si="35"/>
        <v>MEDICARE TAXES</v>
      </c>
    </row>
    <row r="1953" spans="5:8" x14ac:dyDescent="0.25">
      <c r="E1953" t="str">
        <f>""</f>
        <v/>
      </c>
      <c r="F1953" t="str">
        <f>""</f>
        <v/>
      </c>
      <c r="G1953" s="4">
        <v>127.04</v>
      </c>
      <c r="H1953" t="str">
        <f t="shared" si="35"/>
        <v>MEDICARE TAXES</v>
      </c>
    </row>
    <row r="1954" spans="5:8" x14ac:dyDescent="0.25">
      <c r="E1954" t="str">
        <f>""</f>
        <v/>
      </c>
      <c r="F1954" t="str">
        <f>""</f>
        <v/>
      </c>
      <c r="G1954" s="4">
        <v>2538.17</v>
      </c>
      <c r="H1954" t="str">
        <f t="shared" si="35"/>
        <v>MEDICARE TAXES</v>
      </c>
    </row>
    <row r="1955" spans="5:8" x14ac:dyDescent="0.25">
      <c r="E1955" t="str">
        <f>""</f>
        <v/>
      </c>
      <c r="F1955" t="str">
        <f>""</f>
        <v/>
      </c>
      <c r="G1955" s="4">
        <v>438.11</v>
      </c>
      <c r="H1955" t="str">
        <f t="shared" si="35"/>
        <v>MEDICARE TAXES</v>
      </c>
    </row>
    <row r="1956" spans="5:8" x14ac:dyDescent="0.25">
      <c r="E1956" t="str">
        <f>""</f>
        <v/>
      </c>
      <c r="F1956" t="str">
        <f>""</f>
        <v/>
      </c>
      <c r="G1956" s="4">
        <v>28.91</v>
      </c>
      <c r="H1956" t="str">
        <f t="shared" ref="H1956:H1978" si="36">"MEDICARE TAXES"</f>
        <v>MEDICARE TAXES</v>
      </c>
    </row>
    <row r="1957" spans="5:8" x14ac:dyDescent="0.25">
      <c r="E1957" t="str">
        <f>""</f>
        <v/>
      </c>
      <c r="F1957" t="str">
        <f>""</f>
        <v/>
      </c>
      <c r="G1957" s="4">
        <v>119.48</v>
      </c>
      <c r="H1957" t="str">
        <f t="shared" si="36"/>
        <v>MEDICARE TAXES</v>
      </c>
    </row>
    <row r="1958" spans="5:8" x14ac:dyDescent="0.25">
      <c r="E1958" t="str">
        <f>""</f>
        <v/>
      </c>
      <c r="F1958" t="str">
        <f>""</f>
        <v/>
      </c>
      <c r="G1958" s="4">
        <v>8.09</v>
      </c>
      <c r="H1958" t="str">
        <f t="shared" si="36"/>
        <v>MEDICARE TAXES</v>
      </c>
    </row>
    <row r="1959" spans="5:8" x14ac:dyDescent="0.25">
      <c r="E1959" t="str">
        <f>""</f>
        <v/>
      </c>
      <c r="F1959" t="str">
        <f>""</f>
        <v/>
      </c>
      <c r="G1959" s="4">
        <v>57.56</v>
      </c>
      <c r="H1959" t="str">
        <f t="shared" si="36"/>
        <v>MEDICARE TAXES</v>
      </c>
    </row>
    <row r="1960" spans="5:8" x14ac:dyDescent="0.25">
      <c r="E1960" t="str">
        <f>""</f>
        <v/>
      </c>
      <c r="F1960" t="str">
        <f>""</f>
        <v/>
      </c>
      <c r="G1960" s="4">
        <v>27.7</v>
      </c>
      <c r="H1960" t="str">
        <f t="shared" si="36"/>
        <v>MEDICARE TAXES</v>
      </c>
    </row>
    <row r="1961" spans="5:8" x14ac:dyDescent="0.25">
      <c r="E1961" t="str">
        <f>""</f>
        <v/>
      </c>
      <c r="F1961" t="str">
        <f>""</f>
        <v/>
      </c>
      <c r="G1961" s="4">
        <v>139.94999999999999</v>
      </c>
      <c r="H1961" t="str">
        <f t="shared" si="36"/>
        <v>MEDICARE TAXES</v>
      </c>
    </row>
    <row r="1962" spans="5:8" x14ac:dyDescent="0.25">
      <c r="E1962" t="str">
        <f>""</f>
        <v/>
      </c>
      <c r="F1962" t="str">
        <f>""</f>
        <v/>
      </c>
      <c r="G1962" s="4">
        <v>71.77</v>
      </c>
      <c r="H1962" t="str">
        <f t="shared" si="36"/>
        <v>MEDICARE TAXES</v>
      </c>
    </row>
    <row r="1963" spans="5:8" x14ac:dyDescent="0.25">
      <c r="E1963" t="str">
        <f>""</f>
        <v/>
      </c>
      <c r="F1963" t="str">
        <f>""</f>
        <v/>
      </c>
      <c r="G1963" s="4">
        <v>36.659999999999997</v>
      </c>
      <c r="H1963" t="str">
        <f t="shared" si="36"/>
        <v>MEDICARE TAXES</v>
      </c>
    </row>
    <row r="1964" spans="5:8" x14ac:dyDescent="0.25">
      <c r="E1964" t="str">
        <f>""</f>
        <v/>
      </c>
      <c r="F1964" t="str">
        <f>""</f>
        <v/>
      </c>
      <c r="G1964" s="4">
        <v>350.47</v>
      </c>
      <c r="H1964" t="str">
        <f t="shared" si="36"/>
        <v>MEDICARE TAXES</v>
      </c>
    </row>
    <row r="1965" spans="5:8" x14ac:dyDescent="0.25">
      <c r="E1965" t="str">
        <f>""</f>
        <v/>
      </c>
      <c r="F1965" t="str">
        <f>""</f>
        <v/>
      </c>
      <c r="G1965" s="4">
        <v>380.71</v>
      </c>
      <c r="H1965" t="str">
        <f t="shared" si="36"/>
        <v>MEDICARE TAXES</v>
      </c>
    </row>
    <row r="1966" spans="5:8" x14ac:dyDescent="0.25">
      <c r="E1966" t="str">
        <f>""</f>
        <v/>
      </c>
      <c r="F1966" t="str">
        <f>""</f>
        <v/>
      </c>
      <c r="G1966" s="4">
        <v>385.43</v>
      </c>
      <c r="H1966" t="str">
        <f t="shared" si="36"/>
        <v>MEDICARE TAXES</v>
      </c>
    </row>
    <row r="1967" spans="5:8" x14ac:dyDescent="0.25">
      <c r="E1967" t="str">
        <f>""</f>
        <v/>
      </c>
      <c r="F1967" t="str">
        <f>""</f>
        <v/>
      </c>
      <c r="G1967" s="4">
        <v>453.97</v>
      </c>
      <c r="H1967" t="str">
        <f t="shared" si="36"/>
        <v>MEDICARE TAXES</v>
      </c>
    </row>
    <row r="1968" spans="5:8" x14ac:dyDescent="0.25">
      <c r="E1968" t="str">
        <f>""</f>
        <v/>
      </c>
      <c r="F1968" t="str">
        <f>""</f>
        <v/>
      </c>
      <c r="G1968" s="4">
        <v>54.5</v>
      </c>
      <c r="H1968" t="str">
        <f t="shared" si="36"/>
        <v>MEDICARE TAXES</v>
      </c>
    </row>
    <row r="1969" spans="1:8" x14ac:dyDescent="0.25">
      <c r="E1969" t="str">
        <f>""</f>
        <v/>
      </c>
      <c r="F1969" t="str">
        <f>""</f>
        <v/>
      </c>
      <c r="G1969" s="4">
        <v>3.48</v>
      </c>
      <c r="H1969" t="str">
        <f t="shared" si="36"/>
        <v>MEDICARE TAXES</v>
      </c>
    </row>
    <row r="1970" spans="1:8" x14ac:dyDescent="0.25">
      <c r="E1970" t="str">
        <f>""</f>
        <v/>
      </c>
      <c r="F1970" t="str">
        <f>""</f>
        <v/>
      </c>
      <c r="G1970" s="4">
        <v>1.67</v>
      </c>
      <c r="H1970" t="str">
        <f t="shared" si="36"/>
        <v>MEDICARE TAXES</v>
      </c>
    </row>
    <row r="1971" spans="1:8" x14ac:dyDescent="0.25">
      <c r="E1971" t="str">
        <f>""</f>
        <v/>
      </c>
      <c r="F1971" t="str">
        <f>""</f>
        <v/>
      </c>
      <c r="G1971" s="4">
        <v>3.52</v>
      </c>
      <c r="H1971" t="str">
        <f t="shared" si="36"/>
        <v>MEDICARE TAXES</v>
      </c>
    </row>
    <row r="1972" spans="1:8" x14ac:dyDescent="0.25">
      <c r="E1972" t="str">
        <f>""</f>
        <v/>
      </c>
      <c r="F1972" t="str">
        <f>""</f>
        <v/>
      </c>
      <c r="G1972" s="4">
        <v>4.84</v>
      </c>
      <c r="H1972" t="str">
        <f t="shared" si="36"/>
        <v>MEDICARE TAXES</v>
      </c>
    </row>
    <row r="1973" spans="1:8" x14ac:dyDescent="0.25">
      <c r="E1973" t="str">
        <f>""</f>
        <v/>
      </c>
      <c r="F1973" t="str">
        <f>""</f>
        <v/>
      </c>
      <c r="G1973" s="4">
        <v>88.31</v>
      </c>
      <c r="H1973" t="str">
        <f t="shared" si="36"/>
        <v>MEDICARE TAXES</v>
      </c>
    </row>
    <row r="1974" spans="1:8" x14ac:dyDescent="0.25">
      <c r="E1974" t="str">
        <f>""</f>
        <v/>
      </c>
      <c r="F1974" t="str">
        <f>""</f>
        <v/>
      </c>
      <c r="G1974" s="4">
        <v>14169.57</v>
      </c>
      <c r="H1974" t="str">
        <f t="shared" si="36"/>
        <v>MEDICARE TAXES</v>
      </c>
    </row>
    <row r="1975" spans="1:8" x14ac:dyDescent="0.25">
      <c r="E1975" t="str">
        <f>"T4 202112077702"</f>
        <v>T4 202112077702</v>
      </c>
      <c r="F1975" t="str">
        <f>"MEDICARE TAXES"</f>
        <v>MEDICARE TAXES</v>
      </c>
      <c r="G1975" s="4">
        <v>522.85</v>
      </c>
      <c r="H1975" t="str">
        <f t="shared" si="36"/>
        <v>MEDICARE TAXES</v>
      </c>
    </row>
    <row r="1976" spans="1:8" x14ac:dyDescent="0.25">
      <c r="E1976" t="str">
        <f>""</f>
        <v/>
      </c>
      <c r="F1976" t="str">
        <f>""</f>
        <v/>
      </c>
      <c r="G1976" s="4">
        <v>522.85</v>
      </c>
      <c r="H1976" t="str">
        <f t="shared" si="36"/>
        <v>MEDICARE TAXES</v>
      </c>
    </row>
    <row r="1977" spans="1:8" x14ac:dyDescent="0.25">
      <c r="E1977" t="str">
        <f>"T4 202112077703"</f>
        <v>T4 202112077703</v>
      </c>
      <c r="F1977" t="str">
        <f>"MEDICARE TAXES"</f>
        <v>MEDICARE TAXES</v>
      </c>
      <c r="G1977" s="4">
        <v>530.87</v>
      </c>
      <c r="H1977" t="str">
        <f t="shared" si="36"/>
        <v>MEDICARE TAXES</v>
      </c>
    </row>
    <row r="1978" spans="1:8" x14ac:dyDescent="0.25">
      <c r="E1978" t="str">
        <f>""</f>
        <v/>
      </c>
      <c r="F1978" t="str">
        <f>""</f>
        <v/>
      </c>
      <c r="G1978" s="4">
        <v>530.87</v>
      </c>
      <c r="H1978" t="str">
        <f t="shared" si="36"/>
        <v>MEDICARE TAXES</v>
      </c>
    </row>
    <row r="1979" spans="1:8" x14ac:dyDescent="0.25">
      <c r="A1979" t="s">
        <v>423</v>
      </c>
      <c r="B1979">
        <v>1487</v>
      </c>
      <c r="C1979" s="4">
        <v>4414.78</v>
      </c>
      <c r="D1979" s="1">
        <v>44547</v>
      </c>
      <c r="E1979" t="str">
        <f>"T1 202112147762"</f>
        <v>T1 202112147762</v>
      </c>
      <c r="F1979" t="str">
        <f>"FEDERAL WITHHOLDING"</f>
        <v>FEDERAL WITHHOLDING</v>
      </c>
      <c r="G1979" s="4">
        <v>2318.7600000000002</v>
      </c>
      <c r="H1979" t="str">
        <f>"FEDERAL WITHHOLDING"</f>
        <v>FEDERAL WITHHOLDING</v>
      </c>
    </row>
    <row r="1980" spans="1:8" x14ac:dyDescent="0.25">
      <c r="E1980" t="str">
        <f>"T3 202112147762"</f>
        <v>T3 202112147762</v>
      </c>
      <c r="F1980" t="str">
        <f>"SOCIAL SECURITY TAXES"</f>
        <v>SOCIAL SECURITY TAXES</v>
      </c>
      <c r="G1980" s="4">
        <v>572.78</v>
      </c>
      <c r="H1980" t="str">
        <f>"SOCIAL SECURITY TAXES"</f>
        <v>SOCIAL SECURITY TAXES</v>
      </c>
    </row>
    <row r="1981" spans="1:8" x14ac:dyDescent="0.25">
      <c r="E1981" t="str">
        <f>""</f>
        <v/>
      </c>
      <c r="F1981" t="str">
        <f>""</f>
        <v/>
      </c>
      <c r="G1981" s="4">
        <v>263.93</v>
      </c>
      <c r="H1981" t="str">
        <f>"SOCIAL SECURITY TAXES"</f>
        <v>SOCIAL SECURITY TAXES</v>
      </c>
    </row>
    <row r="1982" spans="1:8" x14ac:dyDescent="0.25">
      <c r="E1982" t="str">
        <f>""</f>
        <v/>
      </c>
      <c r="F1982" t="str">
        <f>""</f>
        <v/>
      </c>
      <c r="G1982" s="4">
        <v>12.65</v>
      </c>
      <c r="H1982" t="str">
        <f>"SOCIAL SECURITY TAXES"</f>
        <v>SOCIAL SECURITY TAXES</v>
      </c>
    </row>
    <row r="1983" spans="1:8" x14ac:dyDescent="0.25">
      <c r="E1983" t="str">
        <f>""</f>
        <v/>
      </c>
      <c r="F1983" t="str">
        <f>""</f>
        <v/>
      </c>
      <c r="G1983" s="4">
        <v>849.36</v>
      </c>
      <c r="H1983" t="str">
        <f>"SOCIAL SECURITY TAXES"</f>
        <v>SOCIAL SECURITY TAXES</v>
      </c>
    </row>
    <row r="1984" spans="1:8" x14ac:dyDescent="0.25">
      <c r="E1984" t="str">
        <f>"T4 202112147762"</f>
        <v>T4 202112147762</v>
      </c>
      <c r="F1984" t="str">
        <f>"MEDICARE TAXES"</f>
        <v>MEDICARE TAXES</v>
      </c>
      <c r="G1984" s="4">
        <v>133.96</v>
      </c>
      <c r="H1984" t="str">
        <f>"MEDICARE TAXES"</f>
        <v>MEDICARE TAXES</v>
      </c>
    </row>
    <row r="1985" spans="1:8" x14ac:dyDescent="0.25">
      <c r="E1985" t="str">
        <f>""</f>
        <v/>
      </c>
      <c r="F1985" t="str">
        <f>""</f>
        <v/>
      </c>
      <c r="G1985" s="4">
        <v>61.73</v>
      </c>
      <c r="H1985" t="str">
        <f>"MEDICARE TAXES"</f>
        <v>MEDICARE TAXES</v>
      </c>
    </row>
    <row r="1986" spans="1:8" x14ac:dyDescent="0.25">
      <c r="E1986" t="str">
        <f>""</f>
        <v/>
      </c>
      <c r="F1986" t="str">
        <f>""</f>
        <v/>
      </c>
      <c r="G1986" s="4">
        <v>2.96</v>
      </c>
      <c r="H1986" t="str">
        <f>"MEDICARE TAXES"</f>
        <v>MEDICARE TAXES</v>
      </c>
    </row>
    <row r="1987" spans="1:8" x14ac:dyDescent="0.25">
      <c r="E1987" t="str">
        <f>""</f>
        <v/>
      </c>
      <c r="F1987" t="str">
        <f>""</f>
        <v/>
      </c>
      <c r="G1987" s="4">
        <v>198.65</v>
      </c>
      <c r="H1987" t="str">
        <f>"MEDICARE TAXES"</f>
        <v>MEDICARE TAXES</v>
      </c>
    </row>
    <row r="1988" spans="1:8" x14ac:dyDescent="0.25">
      <c r="A1988" t="s">
        <v>423</v>
      </c>
      <c r="B1988">
        <v>1521</v>
      </c>
      <c r="C1988" s="4">
        <v>246933.62</v>
      </c>
      <c r="D1988" s="1">
        <v>44552</v>
      </c>
      <c r="E1988" t="str">
        <f>"T1 202112177863"</f>
        <v>T1 202112177863</v>
      </c>
      <c r="F1988" t="str">
        <f>"FEDERAL WITHHOLDING"</f>
        <v>FEDERAL WITHHOLDING</v>
      </c>
      <c r="G1988" s="4">
        <v>81835.86</v>
      </c>
      <c r="H1988" t="str">
        <f>"FEDERAL WITHHOLDING"</f>
        <v>FEDERAL WITHHOLDING</v>
      </c>
    </row>
    <row r="1989" spans="1:8" x14ac:dyDescent="0.25">
      <c r="E1989" t="str">
        <f>"T1 202112177864"</f>
        <v>T1 202112177864</v>
      </c>
      <c r="F1989" t="str">
        <f>"FEDERAL WITHHOLDING"</f>
        <v>FEDERAL WITHHOLDING</v>
      </c>
      <c r="G1989" s="4">
        <v>2724.35</v>
      </c>
      <c r="H1989" t="str">
        <f>"FEDERAL WITHHOLDING"</f>
        <v>FEDERAL WITHHOLDING</v>
      </c>
    </row>
    <row r="1990" spans="1:8" x14ac:dyDescent="0.25">
      <c r="E1990" t="str">
        <f>"T1 202112177865"</f>
        <v>T1 202112177865</v>
      </c>
      <c r="F1990" t="str">
        <f>"FEDERAL WITHHOLDING"</f>
        <v>FEDERAL WITHHOLDING</v>
      </c>
      <c r="G1990" s="4">
        <v>3016.43</v>
      </c>
      <c r="H1990" t="str">
        <f>"FEDERAL WITHHOLDING"</f>
        <v>FEDERAL WITHHOLDING</v>
      </c>
    </row>
    <row r="1991" spans="1:8" x14ac:dyDescent="0.25">
      <c r="E1991" t="str">
        <f>"T3 202112177863"</f>
        <v>T3 202112177863</v>
      </c>
      <c r="F1991" t="str">
        <f>"SOCIAL SECURITY TAXES"</f>
        <v>SOCIAL SECURITY TAXES</v>
      </c>
      <c r="G1991" s="4">
        <v>531.22</v>
      </c>
      <c r="H1991" t="str">
        <f t="shared" ref="H1991:H2022" si="37">"SOCIAL SECURITY TAXES"</f>
        <v>SOCIAL SECURITY TAXES</v>
      </c>
    </row>
    <row r="1992" spans="1:8" x14ac:dyDescent="0.25">
      <c r="E1992" t="str">
        <f>""</f>
        <v/>
      </c>
      <c r="F1992" t="str">
        <f>""</f>
        <v/>
      </c>
      <c r="G1992" s="4">
        <v>385.58</v>
      </c>
      <c r="H1992" t="str">
        <f t="shared" si="37"/>
        <v>SOCIAL SECURITY TAXES</v>
      </c>
    </row>
    <row r="1993" spans="1:8" x14ac:dyDescent="0.25">
      <c r="E1993" t="str">
        <f>""</f>
        <v/>
      </c>
      <c r="F1993" t="str">
        <f>""</f>
        <v/>
      </c>
      <c r="G1993" s="4">
        <v>985</v>
      </c>
      <c r="H1993" t="str">
        <f t="shared" si="37"/>
        <v>SOCIAL SECURITY TAXES</v>
      </c>
    </row>
    <row r="1994" spans="1:8" x14ac:dyDescent="0.25">
      <c r="E1994" t="str">
        <f>""</f>
        <v/>
      </c>
      <c r="F1994" t="str">
        <f>""</f>
        <v/>
      </c>
      <c r="G1994" s="4">
        <v>388.73</v>
      </c>
      <c r="H1994" t="str">
        <f t="shared" si="37"/>
        <v>SOCIAL SECURITY TAXES</v>
      </c>
    </row>
    <row r="1995" spans="1:8" x14ac:dyDescent="0.25">
      <c r="E1995" t="str">
        <f>""</f>
        <v/>
      </c>
      <c r="F1995" t="str">
        <f>""</f>
        <v/>
      </c>
      <c r="G1995" s="4">
        <v>231.24</v>
      </c>
      <c r="H1995" t="str">
        <f t="shared" si="37"/>
        <v>SOCIAL SECURITY TAXES</v>
      </c>
    </row>
    <row r="1996" spans="1:8" x14ac:dyDescent="0.25">
      <c r="E1996" t="str">
        <f>""</f>
        <v/>
      </c>
      <c r="F1996" t="str">
        <f>""</f>
        <v/>
      </c>
      <c r="G1996" s="4">
        <v>842.6</v>
      </c>
      <c r="H1996" t="str">
        <f t="shared" si="37"/>
        <v>SOCIAL SECURITY TAXES</v>
      </c>
    </row>
    <row r="1997" spans="1:8" x14ac:dyDescent="0.25">
      <c r="E1997" t="str">
        <f>""</f>
        <v/>
      </c>
      <c r="F1997" t="str">
        <f>""</f>
        <v/>
      </c>
      <c r="G1997" s="4">
        <v>2577.6999999999998</v>
      </c>
      <c r="H1997" t="str">
        <f t="shared" si="37"/>
        <v>SOCIAL SECURITY TAXES</v>
      </c>
    </row>
    <row r="1998" spans="1:8" x14ac:dyDescent="0.25">
      <c r="E1998" t="str">
        <f>""</f>
        <v/>
      </c>
      <c r="F1998" t="str">
        <f>""</f>
        <v/>
      </c>
      <c r="G1998" s="4">
        <v>410.84</v>
      </c>
      <c r="H1998" t="str">
        <f t="shared" si="37"/>
        <v>SOCIAL SECURITY TAXES</v>
      </c>
    </row>
    <row r="1999" spans="1:8" x14ac:dyDescent="0.25">
      <c r="E1999" t="str">
        <f>""</f>
        <v/>
      </c>
      <c r="F1999" t="str">
        <f>""</f>
        <v/>
      </c>
      <c r="G1999" s="4">
        <v>834.95</v>
      </c>
      <c r="H1999" t="str">
        <f t="shared" si="37"/>
        <v>SOCIAL SECURITY TAXES</v>
      </c>
    </row>
    <row r="2000" spans="1:8" x14ac:dyDescent="0.25">
      <c r="E2000" t="str">
        <f>""</f>
        <v/>
      </c>
      <c r="F2000" t="str">
        <f>""</f>
        <v/>
      </c>
      <c r="G2000" s="4">
        <v>1470.03</v>
      </c>
      <c r="H2000" t="str">
        <f t="shared" si="37"/>
        <v>SOCIAL SECURITY TAXES</v>
      </c>
    </row>
    <row r="2001" spans="5:8" x14ac:dyDescent="0.25">
      <c r="E2001" t="str">
        <f>""</f>
        <v/>
      </c>
      <c r="F2001" t="str">
        <f>""</f>
        <v/>
      </c>
      <c r="G2001" s="4">
        <v>455.1</v>
      </c>
      <c r="H2001" t="str">
        <f t="shared" si="37"/>
        <v>SOCIAL SECURITY TAXES</v>
      </c>
    </row>
    <row r="2002" spans="5:8" x14ac:dyDescent="0.25">
      <c r="E2002" t="str">
        <f>""</f>
        <v/>
      </c>
      <c r="F2002" t="str">
        <f>""</f>
        <v/>
      </c>
      <c r="G2002" s="4">
        <v>469.52</v>
      </c>
      <c r="H2002" t="str">
        <f t="shared" si="37"/>
        <v>SOCIAL SECURITY TAXES</v>
      </c>
    </row>
    <row r="2003" spans="5:8" x14ac:dyDescent="0.25">
      <c r="E2003" t="str">
        <f>""</f>
        <v/>
      </c>
      <c r="F2003" t="str">
        <f>""</f>
        <v/>
      </c>
      <c r="G2003" s="4">
        <v>392.13</v>
      </c>
      <c r="H2003" t="str">
        <f t="shared" si="37"/>
        <v>SOCIAL SECURITY TAXES</v>
      </c>
    </row>
    <row r="2004" spans="5:8" x14ac:dyDescent="0.25">
      <c r="E2004" t="str">
        <f>""</f>
        <v/>
      </c>
      <c r="F2004" t="str">
        <f>""</f>
        <v/>
      </c>
      <c r="G2004" s="4">
        <v>409.1</v>
      </c>
      <c r="H2004" t="str">
        <f t="shared" si="37"/>
        <v>SOCIAL SECURITY TAXES</v>
      </c>
    </row>
    <row r="2005" spans="5:8" x14ac:dyDescent="0.25">
      <c r="E2005" t="str">
        <f>""</f>
        <v/>
      </c>
      <c r="F2005" t="str">
        <f>""</f>
        <v/>
      </c>
      <c r="G2005" s="4">
        <v>241.86</v>
      </c>
      <c r="H2005" t="str">
        <f t="shared" si="37"/>
        <v>SOCIAL SECURITY TAXES</v>
      </c>
    </row>
    <row r="2006" spans="5:8" x14ac:dyDescent="0.25">
      <c r="E2006" t="str">
        <f>""</f>
        <v/>
      </c>
      <c r="F2006" t="str">
        <f>""</f>
        <v/>
      </c>
      <c r="G2006" s="4">
        <v>2697.59</v>
      </c>
      <c r="H2006" t="str">
        <f t="shared" si="37"/>
        <v>SOCIAL SECURITY TAXES</v>
      </c>
    </row>
    <row r="2007" spans="5:8" x14ac:dyDescent="0.25">
      <c r="E2007" t="str">
        <f>""</f>
        <v/>
      </c>
      <c r="F2007" t="str">
        <f>""</f>
        <v/>
      </c>
      <c r="G2007" s="4">
        <v>1133.6600000000001</v>
      </c>
      <c r="H2007" t="str">
        <f t="shared" si="37"/>
        <v>SOCIAL SECURITY TAXES</v>
      </c>
    </row>
    <row r="2008" spans="5:8" x14ac:dyDescent="0.25">
      <c r="E2008" t="str">
        <f>""</f>
        <v/>
      </c>
      <c r="F2008" t="str">
        <f>""</f>
        <v/>
      </c>
      <c r="G2008" s="4">
        <v>497.27</v>
      </c>
      <c r="H2008" t="str">
        <f t="shared" si="37"/>
        <v>SOCIAL SECURITY TAXES</v>
      </c>
    </row>
    <row r="2009" spans="5:8" x14ac:dyDescent="0.25">
      <c r="E2009" t="str">
        <f>""</f>
        <v/>
      </c>
      <c r="F2009" t="str">
        <f>""</f>
        <v/>
      </c>
      <c r="G2009" s="4">
        <v>485.22</v>
      </c>
      <c r="H2009" t="str">
        <f t="shared" si="37"/>
        <v>SOCIAL SECURITY TAXES</v>
      </c>
    </row>
    <row r="2010" spans="5:8" x14ac:dyDescent="0.25">
      <c r="E2010" t="str">
        <f>""</f>
        <v/>
      </c>
      <c r="F2010" t="str">
        <f>""</f>
        <v/>
      </c>
      <c r="G2010" s="4">
        <v>1581.54</v>
      </c>
      <c r="H2010" t="str">
        <f t="shared" si="37"/>
        <v>SOCIAL SECURITY TAXES</v>
      </c>
    </row>
    <row r="2011" spans="5:8" x14ac:dyDescent="0.25">
      <c r="E2011" t="str">
        <f>""</f>
        <v/>
      </c>
      <c r="F2011" t="str">
        <f>""</f>
        <v/>
      </c>
      <c r="G2011" s="4">
        <v>729.72</v>
      </c>
      <c r="H2011" t="str">
        <f t="shared" si="37"/>
        <v>SOCIAL SECURITY TAXES</v>
      </c>
    </row>
    <row r="2012" spans="5:8" x14ac:dyDescent="0.25">
      <c r="E2012" t="str">
        <f>""</f>
        <v/>
      </c>
      <c r="F2012" t="str">
        <f>""</f>
        <v/>
      </c>
      <c r="G2012" s="4">
        <v>1802.08</v>
      </c>
      <c r="H2012" t="str">
        <f t="shared" si="37"/>
        <v>SOCIAL SECURITY TAXES</v>
      </c>
    </row>
    <row r="2013" spans="5:8" x14ac:dyDescent="0.25">
      <c r="E2013" t="str">
        <f>""</f>
        <v/>
      </c>
      <c r="F2013" t="str">
        <f>""</f>
        <v/>
      </c>
      <c r="G2013" s="4">
        <v>1218.3399999999999</v>
      </c>
      <c r="H2013" t="str">
        <f t="shared" si="37"/>
        <v>SOCIAL SECURITY TAXES</v>
      </c>
    </row>
    <row r="2014" spans="5:8" x14ac:dyDescent="0.25">
      <c r="E2014" t="str">
        <f>""</f>
        <v/>
      </c>
      <c r="F2014" t="str">
        <f>""</f>
        <v/>
      </c>
      <c r="G2014" s="4">
        <v>2356.6999999999998</v>
      </c>
      <c r="H2014" t="str">
        <f t="shared" si="37"/>
        <v>SOCIAL SECURITY TAXES</v>
      </c>
    </row>
    <row r="2015" spans="5:8" x14ac:dyDescent="0.25">
      <c r="E2015" t="str">
        <f>""</f>
        <v/>
      </c>
      <c r="F2015" t="str">
        <f>""</f>
        <v/>
      </c>
      <c r="G2015" s="4">
        <v>127.07</v>
      </c>
      <c r="H2015" t="str">
        <f t="shared" si="37"/>
        <v>SOCIAL SECURITY TAXES</v>
      </c>
    </row>
    <row r="2016" spans="5:8" x14ac:dyDescent="0.25">
      <c r="E2016" t="str">
        <f>""</f>
        <v/>
      </c>
      <c r="F2016" t="str">
        <f>""</f>
        <v/>
      </c>
      <c r="G2016" s="4">
        <v>140.62</v>
      </c>
      <c r="H2016" t="str">
        <f t="shared" si="37"/>
        <v>SOCIAL SECURITY TAXES</v>
      </c>
    </row>
    <row r="2017" spans="5:8" x14ac:dyDescent="0.25">
      <c r="E2017" t="str">
        <f>""</f>
        <v/>
      </c>
      <c r="F2017" t="str">
        <f>""</f>
        <v/>
      </c>
      <c r="G2017" s="4">
        <v>133.58000000000001</v>
      </c>
      <c r="H2017" t="str">
        <f t="shared" si="37"/>
        <v>SOCIAL SECURITY TAXES</v>
      </c>
    </row>
    <row r="2018" spans="5:8" x14ac:dyDescent="0.25">
      <c r="E2018" t="str">
        <f>""</f>
        <v/>
      </c>
      <c r="F2018" t="str">
        <f>""</f>
        <v/>
      </c>
      <c r="G2018" s="4">
        <v>129.66</v>
      </c>
      <c r="H2018" t="str">
        <f t="shared" si="37"/>
        <v>SOCIAL SECURITY TAXES</v>
      </c>
    </row>
    <row r="2019" spans="5:8" x14ac:dyDescent="0.25">
      <c r="E2019" t="str">
        <f>""</f>
        <v/>
      </c>
      <c r="F2019" t="str">
        <f>""</f>
        <v/>
      </c>
      <c r="G2019" s="4">
        <v>13655.24</v>
      </c>
      <c r="H2019" t="str">
        <f t="shared" si="37"/>
        <v>SOCIAL SECURITY TAXES</v>
      </c>
    </row>
    <row r="2020" spans="5:8" x14ac:dyDescent="0.25">
      <c r="E2020" t="str">
        <f>""</f>
        <v/>
      </c>
      <c r="F2020" t="str">
        <f>""</f>
        <v/>
      </c>
      <c r="G2020" s="4">
        <v>543.23</v>
      </c>
      <c r="H2020" t="str">
        <f t="shared" si="37"/>
        <v>SOCIAL SECURITY TAXES</v>
      </c>
    </row>
    <row r="2021" spans="5:8" x14ac:dyDescent="0.25">
      <c r="E2021" t="str">
        <f>""</f>
        <v/>
      </c>
      <c r="F2021" t="str">
        <f>""</f>
        <v/>
      </c>
      <c r="G2021" s="4">
        <v>11219.18</v>
      </c>
      <c r="H2021" t="str">
        <f t="shared" si="37"/>
        <v>SOCIAL SECURITY TAXES</v>
      </c>
    </row>
    <row r="2022" spans="5:8" x14ac:dyDescent="0.25">
      <c r="E2022" t="str">
        <f>""</f>
        <v/>
      </c>
      <c r="F2022" t="str">
        <f>""</f>
        <v/>
      </c>
      <c r="G2022" s="4">
        <v>1992.86</v>
      </c>
      <c r="H2022" t="str">
        <f t="shared" si="37"/>
        <v>SOCIAL SECURITY TAXES</v>
      </c>
    </row>
    <row r="2023" spans="5:8" x14ac:dyDescent="0.25">
      <c r="E2023" t="str">
        <f>""</f>
        <v/>
      </c>
      <c r="F2023" t="str">
        <f>""</f>
        <v/>
      </c>
      <c r="G2023" s="4">
        <v>123.63</v>
      </c>
      <c r="H2023" t="str">
        <f t="shared" ref="H2023:H2044" si="38">"SOCIAL SECURITY TAXES"</f>
        <v>SOCIAL SECURITY TAXES</v>
      </c>
    </row>
    <row r="2024" spans="5:8" x14ac:dyDescent="0.25">
      <c r="E2024" t="str">
        <f>""</f>
        <v/>
      </c>
      <c r="F2024" t="str">
        <f>""</f>
        <v/>
      </c>
      <c r="G2024" s="4">
        <v>510.91</v>
      </c>
      <c r="H2024" t="str">
        <f t="shared" si="38"/>
        <v>SOCIAL SECURITY TAXES</v>
      </c>
    </row>
    <row r="2025" spans="5:8" x14ac:dyDescent="0.25">
      <c r="E2025" t="str">
        <f>""</f>
        <v/>
      </c>
      <c r="F2025" t="str">
        <f>""</f>
        <v/>
      </c>
      <c r="G2025" s="4">
        <v>34.619999999999997</v>
      </c>
      <c r="H2025" t="str">
        <f t="shared" si="38"/>
        <v>SOCIAL SECURITY TAXES</v>
      </c>
    </row>
    <row r="2026" spans="5:8" x14ac:dyDescent="0.25">
      <c r="E2026" t="str">
        <f>""</f>
        <v/>
      </c>
      <c r="F2026" t="str">
        <f>""</f>
        <v/>
      </c>
      <c r="G2026" s="4">
        <v>250.44</v>
      </c>
      <c r="H2026" t="str">
        <f t="shared" si="38"/>
        <v>SOCIAL SECURITY TAXES</v>
      </c>
    </row>
    <row r="2027" spans="5:8" x14ac:dyDescent="0.25">
      <c r="E2027" t="str">
        <f>""</f>
        <v/>
      </c>
      <c r="F2027" t="str">
        <f>""</f>
        <v/>
      </c>
      <c r="G2027" s="4">
        <v>119.14</v>
      </c>
      <c r="H2027" t="str">
        <f t="shared" si="38"/>
        <v>SOCIAL SECURITY TAXES</v>
      </c>
    </row>
    <row r="2028" spans="5:8" x14ac:dyDescent="0.25">
      <c r="E2028" t="str">
        <f>""</f>
        <v/>
      </c>
      <c r="F2028" t="str">
        <f>""</f>
        <v/>
      </c>
      <c r="G2028" s="4">
        <v>659.8</v>
      </c>
      <c r="H2028" t="str">
        <f t="shared" si="38"/>
        <v>SOCIAL SECURITY TAXES</v>
      </c>
    </row>
    <row r="2029" spans="5:8" x14ac:dyDescent="0.25">
      <c r="E2029" t="str">
        <f>""</f>
        <v/>
      </c>
      <c r="F2029" t="str">
        <f>""</f>
        <v/>
      </c>
      <c r="G2029" s="4">
        <v>306.87</v>
      </c>
      <c r="H2029" t="str">
        <f t="shared" si="38"/>
        <v>SOCIAL SECURITY TAXES</v>
      </c>
    </row>
    <row r="2030" spans="5:8" x14ac:dyDescent="0.25">
      <c r="E2030" t="str">
        <f>""</f>
        <v/>
      </c>
      <c r="F2030" t="str">
        <f>""</f>
        <v/>
      </c>
      <c r="G2030" s="4">
        <v>156.69999999999999</v>
      </c>
      <c r="H2030" t="str">
        <f t="shared" si="38"/>
        <v>SOCIAL SECURITY TAXES</v>
      </c>
    </row>
    <row r="2031" spans="5:8" x14ac:dyDescent="0.25">
      <c r="E2031" t="str">
        <f>""</f>
        <v/>
      </c>
      <c r="F2031" t="str">
        <f>""</f>
        <v/>
      </c>
      <c r="G2031" s="4">
        <v>1498.49</v>
      </c>
      <c r="H2031" t="str">
        <f t="shared" si="38"/>
        <v>SOCIAL SECURITY TAXES</v>
      </c>
    </row>
    <row r="2032" spans="5:8" x14ac:dyDescent="0.25">
      <c r="E2032" t="str">
        <f>""</f>
        <v/>
      </c>
      <c r="F2032" t="str">
        <f>""</f>
        <v/>
      </c>
      <c r="G2032" s="4">
        <v>1508.51</v>
      </c>
      <c r="H2032" t="str">
        <f t="shared" si="38"/>
        <v>SOCIAL SECURITY TAXES</v>
      </c>
    </row>
    <row r="2033" spans="5:8" x14ac:dyDescent="0.25">
      <c r="E2033" t="str">
        <f>""</f>
        <v/>
      </c>
      <c r="F2033" t="str">
        <f>""</f>
        <v/>
      </c>
      <c r="G2033" s="4">
        <v>1691.61</v>
      </c>
      <c r="H2033" t="str">
        <f t="shared" si="38"/>
        <v>SOCIAL SECURITY TAXES</v>
      </c>
    </row>
    <row r="2034" spans="5:8" x14ac:dyDescent="0.25">
      <c r="E2034" t="str">
        <f>""</f>
        <v/>
      </c>
      <c r="F2034" t="str">
        <f>""</f>
        <v/>
      </c>
      <c r="G2034" s="4">
        <v>2016.09</v>
      </c>
      <c r="H2034" t="str">
        <f t="shared" si="38"/>
        <v>SOCIAL SECURITY TAXES</v>
      </c>
    </row>
    <row r="2035" spans="5:8" x14ac:dyDescent="0.25">
      <c r="E2035" t="str">
        <f>""</f>
        <v/>
      </c>
      <c r="F2035" t="str">
        <f>""</f>
        <v/>
      </c>
      <c r="G2035" s="4">
        <v>232.98</v>
      </c>
      <c r="H2035" t="str">
        <f t="shared" si="38"/>
        <v>SOCIAL SECURITY TAXES</v>
      </c>
    </row>
    <row r="2036" spans="5:8" x14ac:dyDescent="0.25">
      <c r="E2036" t="str">
        <f>""</f>
        <v/>
      </c>
      <c r="F2036" t="str">
        <f>""</f>
        <v/>
      </c>
      <c r="G2036" s="4">
        <v>14.9</v>
      </c>
      <c r="H2036" t="str">
        <f t="shared" si="38"/>
        <v>SOCIAL SECURITY TAXES</v>
      </c>
    </row>
    <row r="2037" spans="5:8" x14ac:dyDescent="0.25">
      <c r="E2037" t="str">
        <f>""</f>
        <v/>
      </c>
      <c r="F2037" t="str">
        <f>""</f>
        <v/>
      </c>
      <c r="G2037" s="4">
        <v>7.16</v>
      </c>
      <c r="H2037" t="str">
        <f t="shared" si="38"/>
        <v>SOCIAL SECURITY TAXES</v>
      </c>
    </row>
    <row r="2038" spans="5:8" x14ac:dyDescent="0.25">
      <c r="E2038" t="str">
        <f>""</f>
        <v/>
      </c>
      <c r="F2038" t="str">
        <f>""</f>
        <v/>
      </c>
      <c r="G2038" s="4">
        <v>15.03</v>
      </c>
      <c r="H2038" t="str">
        <f t="shared" si="38"/>
        <v>SOCIAL SECURITY TAXES</v>
      </c>
    </row>
    <row r="2039" spans="5:8" x14ac:dyDescent="0.25">
      <c r="E2039" t="str">
        <f>""</f>
        <v/>
      </c>
      <c r="F2039" t="str">
        <f>""</f>
        <v/>
      </c>
      <c r="G2039" s="4">
        <v>20.61</v>
      </c>
      <c r="H2039" t="str">
        <f t="shared" si="38"/>
        <v>SOCIAL SECURITY TAXES</v>
      </c>
    </row>
    <row r="2040" spans="5:8" x14ac:dyDescent="0.25">
      <c r="E2040" t="str">
        <f>""</f>
        <v/>
      </c>
      <c r="F2040" t="str">
        <f>""</f>
        <v/>
      </c>
      <c r="G2040" s="4">
        <v>60236.65</v>
      </c>
      <c r="H2040" t="str">
        <f t="shared" si="38"/>
        <v>SOCIAL SECURITY TAXES</v>
      </c>
    </row>
    <row r="2041" spans="5:8" x14ac:dyDescent="0.25">
      <c r="E2041" t="str">
        <f>"T3 202112177864"</f>
        <v>T3 202112177864</v>
      </c>
      <c r="F2041" t="str">
        <f>"SOCIAL SECURITY TAXES"</f>
        <v>SOCIAL SECURITY TAXES</v>
      </c>
      <c r="G2041" s="4">
        <v>1921.73</v>
      </c>
      <c r="H2041" t="str">
        <f t="shared" si="38"/>
        <v>SOCIAL SECURITY TAXES</v>
      </c>
    </row>
    <row r="2042" spans="5:8" x14ac:dyDescent="0.25">
      <c r="E2042" t="str">
        <f>""</f>
        <v/>
      </c>
      <c r="F2042" t="str">
        <f>""</f>
        <v/>
      </c>
      <c r="G2042" s="4">
        <v>1921.73</v>
      </c>
      <c r="H2042" t="str">
        <f t="shared" si="38"/>
        <v>SOCIAL SECURITY TAXES</v>
      </c>
    </row>
    <row r="2043" spans="5:8" x14ac:dyDescent="0.25">
      <c r="E2043" t="str">
        <f>"T3 202112177865"</f>
        <v>T3 202112177865</v>
      </c>
      <c r="F2043" t="str">
        <f>"SOCIAL SECURITY TAXES"</f>
        <v>SOCIAL SECURITY TAXES</v>
      </c>
      <c r="G2043" s="4">
        <v>2265.9899999999998</v>
      </c>
      <c r="H2043" t="str">
        <f t="shared" si="38"/>
        <v>SOCIAL SECURITY TAXES</v>
      </c>
    </row>
    <row r="2044" spans="5:8" x14ac:dyDescent="0.25">
      <c r="E2044" t="str">
        <f>""</f>
        <v/>
      </c>
      <c r="F2044" t="str">
        <f>""</f>
        <v/>
      </c>
      <c r="G2044" s="4">
        <v>2265.9899999999998</v>
      </c>
      <c r="H2044" t="str">
        <f t="shared" si="38"/>
        <v>SOCIAL SECURITY TAXES</v>
      </c>
    </row>
    <row r="2045" spans="5:8" x14ac:dyDescent="0.25">
      <c r="E2045" t="str">
        <f>"T4 202112177863"</f>
        <v>T4 202112177863</v>
      </c>
      <c r="F2045" t="str">
        <f>"MEDICARE TAXES"</f>
        <v>MEDICARE TAXES</v>
      </c>
      <c r="G2045" s="4">
        <v>124.24</v>
      </c>
      <c r="H2045" t="str">
        <f t="shared" ref="H2045:H2076" si="39">"MEDICARE TAXES"</f>
        <v>MEDICARE TAXES</v>
      </c>
    </row>
    <row r="2046" spans="5:8" x14ac:dyDescent="0.25">
      <c r="E2046" t="str">
        <f>""</f>
        <v/>
      </c>
      <c r="F2046" t="str">
        <f>""</f>
        <v/>
      </c>
      <c r="G2046" s="4">
        <v>90.19</v>
      </c>
      <c r="H2046" t="str">
        <f t="shared" si="39"/>
        <v>MEDICARE TAXES</v>
      </c>
    </row>
    <row r="2047" spans="5:8" x14ac:dyDescent="0.25">
      <c r="E2047" t="str">
        <f>""</f>
        <v/>
      </c>
      <c r="F2047" t="str">
        <f>""</f>
        <v/>
      </c>
      <c r="G2047" s="4">
        <v>230.36</v>
      </c>
      <c r="H2047" t="str">
        <f t="shared" si="39"/>
        <v>MEDICARE TAXES</v>
      </c>
    </row>
    <row r="2048" spans="5:8" x14ac:dyDescent="0.25">
      <c r="E2048" t="str">
        <f>""</f>
        <v/>
      </c>
      <c r="F2048" t="str">
        <f>""</f>
        <v/>
      </c>
      <c r="G2048" s="4">
        <v>90.92</v>
      </c>
      <c r="H2048" t="str">
        <f t="shared" si="39"/>
        <v>MEDICARE TAXES</v>
      </c>
    </row>
    <row r="2049" spans="5:8" x14ac:dyDescent="0.25">
      <c r="E2049" t="str">
        <f>""</f>
        <v/>
      </c>
      <c r="F2049" t="str">
        <f>""</f>
        <v/>
      </c>
      <c r="G2049" s="4">
        <v>54.08</v>
      </c>
      <c r="H2049" t="str">
        <f t="shared" si="39"/>
        <v>MEDICARE TAXES</v>
      </c>
    </row>
    <row r="2050" spans="5:8" x14ac:dyDescent="0.25">
      <c r="E2050" t="str">
        <f>""</f>
        <v/>
      </c>
      <c r="F2050" t="str">
        <f>""</f>
        <v/>
      </c>
      <c r="G2050" s="4">
        <v>197.07</v>
      </c>
      <c r="H2050" t="str">
        <f t="shared" si="39"/>
        <v>MEDICARE TAXES</v>
      </c>
    </row>
    <row r="2051" spans="5:8" x14ac:dyDescent="0.25">
      <c r="E2051" t="str">
        <f>""</f>
        <v/>
      </c>
      <c r="F2051" t="str">
        <f>""</f>
        <v/>
      </c>
      <c r="G2051" s="4">
        <v>602.84</v>
      </c>
      <c r="H2051" t="str">
        <f t="shared" si="39"/>
        <v>MEDICARE TAXES</v>
      </c>
    </row>
    <row r="2052" spans="5:8" x14ac:dyDescent="0.25">
      <c r="E2052" t="str">
        <f>""</f>
        <v/>
      </c>
      <c r="F2052" t="str">
        <f>""</f>
        <v/>
      </c>
      <c r="G2052" s="4">
        <v>194.5</v>
      </c>
      <c r="H2052" t="str">
        <f t="shared" si="39"/>
        <v>MEDICARE TAXES</v>
      </c>
    </row>
    <row r="2053" spans="5:8" x14ac:dyDescent="0.25">
      <c r="E2053" t="str">
        <f>""</f>
        <v/>
      </c>
      <c r="F2053" t="str">
        <f>""</f>
        <v/>
      </c>
      <c r="G2053" s="4">
        <v>195.27</v>
      </c>
      <c r="H2053" t="str">
        <f t="shared" si="39"/>
        <v>MEDICARE TAXES</v>
      </c>
    </row>
    <row r="2054" spans="5:8" x14ac:dyDescent="0.25">
      <c r="E2054" t="str">
        <f>""</f>
        <v/>
      </c>
      <c r="F2054" t="str">
        <f>""</f>
        <v/>
      </c>
      <c r="G2054" s="4">
        <v>343.78</v>
      </c>
      <c r="H2054" t="str">
        <f t="shared" si="39"/>
        <v>MEDICARE TAXES</v>
      </c>
    </row>
    <row r="2055" spans="5:8" x14ac:dyDescent="0.25">
      <c r="E2055" t="str">
        <f>""</f>
        <v/>
      </c>
      <c r="F2055" t="str">
        <f>""</f>
        <v/>
      </c>
      <c r="G2055" s="4">
        <v>106.44</v>
      </c>
      <c r="H2055" t="str">
        <f t="shared" si="39"/>
        <v>MEDICARE TAXES</v>
      </c>
    </row>
    <row r="2056" spans="5:8" x14ac:dyDescent="0.25">
      <c r="E2056" t="str">
        <f>""</f>
        <v/>
      </c>
      <c r="F2056" t="str">
        <f>""</f>
        <v/>
      </c>
      <c r="G2056" s="4">
        <v>109.8</v>
      </c>
      <c r="H2056" t="str">
        <f t="shared" si="39"/>
        <v>MEDICARE TAXES</v>
      </c>
    </row>
    <row r="2057" spans="5:8" x14ac:dyDescent="0.25">
      <c r="E2057" t="str">
        <f>""</f>
        <v/>
      </c>
      <c r="F2057" t="str">
        <f>""</f>
        <v/>
      </c>
      <c r="G2057" s="4">
        <v>91.72</v>
      </c>
      <c r="H2057" t="str">
        <f t="shared" si="39"/>
        <v>MEDICARE TAXES</v>
      </c>
    </row>
    <row r="2058" spans="5:8" x14ac:dyDescent="0.25">
      <c r="E2058" t="str">
        <f>""</f>
        <v/>
      </c>
      <c r="F2058" t="str">
        <f>""</f>
        <v/>
      </c>
      <c r="G2058" s="4">
        <v>95.67</v>
      </c>
      <c r="H2058" t="str">
        <f t="shared" si="39"/>
        <v>MEDICARE TAXES</v>
      </c>
    </row>
    <row r="2059" spans="5:8" x14ac:dyDescent="0.25">
      <c r="E2059" t="str">
        <f>""</f>
        <v/>
      </c>
      <c r="F2059" t="str">
        <f>""</f>
        <v/>
      </c>
      <c r="G2059" s="4">
        <v>56.57</v>
      </c>
      <c r="H2059" t="str">
        <f t="shared" si="39"/>
        <v>MEDICARE TAXES</v>
      </c>
    </row>
    <row r="2060" spans="5:8" x14ac:dyDescent="0.25">
      <c r="E2060" t="str">
        <f>""</f>
        <v/>
      </c>
      <c r="F2060" t="str">
        <f>""</f>
        <v/>
      </c>
      <c r="G2060" s="4">
        <v>630.91</v>
      </c>
      <c r="H2060" t="str">
        <f t="shared" si="39"/>
        <v>MEDICARE TAXES</v>
      </c>
    </row>
    <row r="2061" spans="5:8" x14ac:dyDescent="0.25">
      <c r="E2061" t="str">
        <f>""</f>
        <v/>
      </c>
      <c r="F2061" t="str">
        <f>""</f>
        <v/>
      </c>
      <c r="G2061" s="4">
        <v>265.14</v>
      </c>
      <c r="H2061" t="str">
        <f t="shared" si="39"/>
        <v>MEDICARE TAXES</v>
      </c>
    </row>
    <row r="2062" spans="5:8" x14ac:dyDescent="0.25">
      <c r="E2062" t="str">
        <f>""</f>
        <v/>
      </c>
      <c r="F2062" t="str">
        <f>""</f>
        <v/>
      </c>
      <c r="G2062" s="4">
        <v>116.29</v>
      </c>
      <c r="H2062" t="str">
        <f t="shared" si="39"/>
        <v>MEDICARE TAXES</v>
      </c>
    </row>
    <row r="2063" spans="5:8" x14ac:dyDescent="0.25">
      <c r="E2063" t="str">
        <f>""</f>
        <v/>
      </c>
      <c r="F2063" t="str">
        <f>""</f>
        <v/>
      </c>
      <c r="G2063" s="4">
        <v>113.48</v>
      </c>
      <c r="H2063" t="str">
        <f t="shared" si="39"/>
        <v>MEDICARE TAXES</v>
      </c>
    </row>
    <row r="2064" spans="5:8" x14ac:dyDescent="0.25">
      <c r="E2064" t="str">
        <f>""</f>
        <v/>
      </c>
      <c r="F2064" t="str">
        <f>""</f>
        <v/>
      </c>
      <c r="G2064" s="4">
        <v>369.87</v>
      </c>
      <c r="H2064" t="str">
        <f t="shared" si="39"/>
        <v>MEDICARE TAXES</v>
      </c>
    </row>
    <row r="2065" spans="5:8" x14ac:dyDescent="0.25">
      <c r="E2065" t="str">
        <f>""</f>
        <v/>
      </c>
      <c r="F2065" t="str">
        <f>""</f>
        <v/>
      </c>
      <c r="G2065" s="4">
        <v>170.66</v>
      </c>
      <c r="H2065" t="str">
        <f t="shared" si="39"/>
        <v>MEDICARE TAXES</v>
      </c>
    </row>
    <row r="2066" spans="5:8" x14ac:dyDescent="0.25">
      <c r="E2066" t="str">
        <f>""</f>
        <v/>
      </c>
      <c r="F2066" t="str">
        <f>""</f>
        <v/>
      </c>
      <c r="G2066" s="4">
        <v>421.46</v>
      </c>
      <c r="H2066" t="str">
        <f t="shared" si="39"/>
        <v>MEDICARE TAXES</v>
      </c>
    </row>
    <row r="2067" spans="5:8" x14ac:dyDescent="0.25">
      <c r="E2067" t="str">
        <f>""</f>
        <v/>
      </c>
      <c r="F2067" t="str">
        <f>""</f>
        <v/>
      </c>
      <c r="G2067" s="4">
        <v>284.94</v>
      </c>
      <c r="H2067" t="str">
        <f t="shared" si="39"/>
        <v>MEDICARE TAXES</v>
      </c>
    </row>
    <row r="2068" spans="5:8" x14ac:dyDescent="0.25">
      <c r="E2068" t="str">
        <f>""</f>
        <v/>
      </c>
      <c r="F2068" t="str">
        <f>""</f>
        <v/>
      </c>
      <c r="G2068" s="4">
        <v>551.15</v>
      </c>
      <c r="H2068" t="str">
        <f t="shared" si="39"/>
        <v>MEDICARE TAXES</v>
      </c>
    </row>
    <row r="2069" spans="5:8" x14ac:dyDescent="0.25">
      <c r="E2069" t="str">
        <f>""</f>
        <v/>
      </c>
      <c r="F2069" t="str">
        <f>""</f>
        <v/>
      </c>
      <c r="G2069" s="4">
        <v>29.72</v>
      </c>
      <c r="H2069" t="str">
        <f t="shared" si="39"/>
        <v>MEDICARE TAXES</v>
      </c>
    </row>
    <row r="2070" spans="5:8" x14ac:dyDescent="0.25">
      <c r="E2070" t="str">
        <f>""</f>
        <v/>
      </c>
      <c r="F2070" t="str">
        <f>""</f>
        <v/>
      </c>
      <c r="G2070" s="4">
        <v>32.89</v>
      </c>
      <c r="H2070" t="str">
        <f t="shared" si="39"/>
        <v>MEDICARE TAXES</v>
      </c>
    </row>
    <row r="2071" spans="5:8" x14ac:dyDescent="0.25">
      <c r="E2071" t="str">
        <f>""</f>
        <v/>
      </c>
      <c r="F2071" t="str">
        <f>""</f>
        <v/>
      </c>
      <c r="G2071" s="4">
        <v>31.24</v>
      </c>
      <c r="H2071" t="str">
        <f t="shared" si="39"/>
        <v>MEDICARE TAXES</v>
      </c>
    </row>
    <row r="2072" spans="5:8" x14ac:dyDescent="0.25">
      <c r="E2072" t="str">
        <f>""</f>
        <v/>
      </c>
      <c r="F2072" t="str">
        <f>""</f>
        <v/>
      </c>
      <c r="G2072" s="4">
        <v>30.32</v>
      </c>
      <c r="H2072" t="str">
        <f t="shared" si="39"/>
        <v>MEDICARE TAXES</v>
      </c>
    </row>
    <row r="2073" spans="5:8" x14ac:dyDescent="0.25">
      <c r="E2073" t="str">
        <f>""</f>
        <v/>
      </c>
      <c r="F2073" t="str">
        <f>""</f>
        <v/>
      </c>
      <c r="G2073" s="4">
        <v>3193.83</v>
      </c>
      <c r="H2073" t="str">
        <f t="shared" si="39"/>
        <v>MEDICARE TAXES</v>
      </c>
    </row>
    <row r="2074" spans="5:8" x14ac:dyDescent="0.25">
      <c r="E2074" t="str">
        <f>""</f>
        <v/>
      </c>
      <c r="F2074" t="str">
        <f>""</f>
        <v/>
      </c>
      <c r="G2074" s="4">
        <v>127.04</v>
      </c>
      <c r="H2074" t="str">
        <f t="shared" si="39"/>
        <v>MEDICARE TAXES</v>
      </c>
    </row>
    <row r="2075" spans="5:8" x14ac:dyDescent="0.25">
      <c r="E2075" t="str">
        <f>""</f>
        <v/>
      </c>
      <c r="F2075" t="str">
        <f>""</f>
        <v/>
      </c>
      <c r="G2075" s="4">
        <v>2623.97</v>
      </c>
      <c r="H2075" t="str">
        <f t="shared" si="39"/>
        <v>MEDICARE TAXES</v>
      </c>
    </row>
    <row r="2076" spans="5:8" x14ac:dyDescent="0.25">
      <c r="E2076" t="str">
        <f>""</f>
        <v/>
      </c>
      <c r="F2076" t="str">
        <f>""</f>
        <v/>
      </c>
      <c r="G2076" s="4">
        <v>466.07</v>
      </c>
      <c r="H2076" t="str">
        <f t="shared" si="39"/>
        <v>MEDICARE TAXES</v>
      </c>
    </row>
    <row r="2077" spans="5:8" x14ac:dyDescent="0.25">
      <c r="E2077" t="str">
        <f>""</f>
        <v/>
      </c>
      <c r="F2077" t="str">
        <f>""</f>
        <v/>
      </c>
      <c r="G2077" s="4">
        <v>28.91</v>
      </c>
      <c r="H2077" t="str">
        <f t="shared" ref="H2077:H2099" si="40">"MEDICARE TAXES"</f>
        <v>MEDICARE TAXES</v>
      </c>
    </row>
    <row r="2078" spans="5:8" x14ac:dyDescent="0.25">
      <c r="E2078" t="str">
        <f>""</f>
        <v/>
      </c>
      <c r="F2078" t="str">
        <f>""</f>
        <v/>
      </c>
      <c r="G2078" s="4">
        <v>119.48</v>
      </c>
      <c r="H2078" t="str">
        <f t="shared" si="40"/>
        <v>MEDICARE TAXES</v>
      </c>
    </row>
    <row r="2079" spans="5:8" x14ac:dyDescent="0.25">
      <c r="E2079" t="str">
        <f>""</f>
        <v/>
      </c>
      <c r="F2079" t="str">
        <f>""</f>
        <v/>
      </c>
      <c r="G2079" s="4">
        <v>8.09</v>
      </c>
      <c r="H2079" t="str">
        <f t="shared" si="40"/>
        <v>MEDICARE TAXES</v>
      </c>
    </row>
    <row r="2080" spans="5:8" x14ac:dyDescent="0.25">
      <c r="E2080" t="str">
        <f>""</f>
        <v/>
      </c>
      <c r="F2080" t="str">
        <f>""</f>
        <v/>
      </c>
      <c r="G2080" s="4">
        <v>58.57</v>
      </c>
      <c r="H2080" t="str">
        <f t="shared" si="40"/>
        <v>MEDICARE TAXES</v>
      </c>
    </row>
    <row r="2081" spans="5:8" x14ac:dyDescent="0.25">
      <c r="E2081" t="str">
        <f>""</f>
        <v/>
      </c>
      <c r="F2081" t="str">
        <f>""</f>
        <v/>
      </c>
      <c r="G2081" s="4">
        <v>27.86</v>
      </c>
      <c r="H2081" t="str">
        <f t="shared" si="40"/>
        <v>MEDICARE TAXES</v>
      </c>
    </row>
    <row r="2082" spans="5:8" x14ac:dyDescent="0.25">
      <c r="E2082" t="str">
        <f>""</f>
        <v/>
      </c>
      <c r="F2082" t="str">
        <f>""</f>
        <v/>
      </c>
      <c r="G2082" s="4">
        <v>154.31</v>
      </c>
      <c r="H2082" t="str">
        <f t="shared" si="40"/>
        <v>MEDICARE TAXES</v>
      </c>
    </row>
    <row r="2083" spans="5:8" x14ac:dyDescent="0.25">
      <c r="E2083" t="str">
        <f>""</f>
        <v/>
      </c>
      <c r="F2083" t="str">
        <f>""</f>
        <v/>
      </c>
      <c r="G2083" s="4">
        <v>71.77</v>
      </c>
      <c r="H2083" t="str">
        <f t="shared" si="40"/>
        <v>MEDICARE TAXES</v>
      </c>
    </row>
    <row r="2084" spans="5:8" x14ac:dyDescent="0.25">
      <c r="E2084" t="str">
        <f>""</f>
        <v/>
      </c>
      <c r="F2084" t="str">
        <f>""</f>
        <v/>
      </c>
      <c r="G2084" s="4">
        <v>36.659999999999997</v>
      </c>
      <c r="H2084" t="str">
        <f t="shared" si="40"/>
        <v>MEDICARE TAXES</v>
      </c>
    </row>
    <row r="2085" spans="5:8" x14ac:dyDescent="0.25">
      <c r="E2085" t="str">
        <f>""</f>
        <v/>
      </c>
      <c r="F2085" t="str">
        <f>""</f>
        <v/>
      </c>
      <c r="G2085" s="4">
        <v>350.46</v>
      </c>
      <c r="H2085" t="str">
        <f t="shared" si="40"/>
        <v>MEDICARE TAXES</v>
      </c>
    </row>
    <row r="2086" spans="5:8" x14ac:dyDescent="0.25">
      <c r="E2086" t="str">
        <f>""</f>
        <v/>
      </c>
      <c r="F2086" t="str">
        <f>""</f>
        <v/>
      </c>
      <c r="G2086" s="4">
        <v>352.8</v>
      </c>
      <c r="H2086" t="str">
        <f t="shared" si="40"/>
        <v>MEDICARE TAXES</v>
      </c>
    </row>
    <row r="2087" spans="5:8" x14ac:dyDescent="0.25">
      <c r="E2087" t="str">
        <f>""</f>
        <v/>
      </c>
      <c r="F2087" t="str">
        <f>""</f>
        <v/>
      </c>
      <c r="G2087" s="4">
        <v>395.6</v>
      </c>
      <c r="H2087" t="str">
        <f t="shared" si="40"/>
        <v>MEDICARE TAXES</v>
      </c>
    </row>
    <row r="2088" spans="5:8" x14ac:dyDescent="0.25">
      <c r="E2088" t="str">
        <f>""</f>
        <v/>
      </c>
      <c r="F2088" t="str">
        <f>""</f>
        <v/>
      </c>
      <c r="G2088" s="4">
        <v>471.49</v>
      </c>
      <c r="H2088" t="str">
        <f t="shared" si="40"/>
        <v>MEDICARE TAXES</v>
      </c>
    </row>
    <row r="2089" spans="5:8" x14ac:dyDescent="0.25">
      <c r="E2089" t="str">
        <f>""</f>
        <v/>
      </c>
      <c r="F2089" t="str">
        <f>""</f>
        <v/>
      </c>
      <c r="G2089" s="4">
        <v>54.5</v>
      </c>
      <c r="H2089" t="str">
        <f t="shared" si="40"/>
        <v>MEDICARE TAXES</v>
      </c>
    </row>
    <row r="2090" spans="5:8" x14ac:dyDescent="0.25">
      <c r="E2090" t="str">
        <f>""</f>
        <v/>
      </c>
      <c r="F2090" t="str">
        <f>""</f>
        <v/>
      </c>
      <c r="G2090" s="4">
        <v>3.48</v>
      </c>
      <c r="H2090" t="str">
        <f t="shared" si="40"/>
        <v>MEDICARE TAXES</v>
      </c>
    </row>
    <row r="2091" spans="5:8" x14ac:dyDescent="0.25">
      <c r="E2091" t="str">
        <f>""</f>
        <v/>
      </c>
      <c r="F2091" t="str">
        <f>""</f>
        <v/>
      </c>
      <c r="G2091" s="4">
        <v>1.67</v>
      </c>
      <c r="H2091" t="str">
        <f t="shared" si="40"/>
        <v>MEDICARE TAXES</v>
      </c>
    </row>
    <row r="2092" spans="5:8" x14ac:dyDescent="0.25">
      <c r="E2092" t="str">
        <f>""</f>
        <v/>
      </c>
      <c r="F2092" t="str">
        <f>""</f>
        <v/>
      </c>
      <c r="G2092" s="4">
        <v>3.52</v>
      </c>
      <c r="H2092" t="str">
        <f t="shared" si="40"/>
        <v>MEDICARE TAXES</v>
      </c>
    </row>
    <row r="2093" spans="5:8" x14ac:dyDescent="0.25">
      <c r="E2093" t="str">
        <f>""</f>
        <v/>
      </c>
      <c r="F2093" t="str">
        <f>""</f>
        <v/>
      </c>
      <c r="G2093" s="4">
        <v>4.82</v>
      </c>
      <c r="H2093" t="str">
        <f t="shared" si="40"/>
        <v>MEDICARE TAXES</v>
      </c>
    </row>
    <row r="2094" spans="5:8" x14ac:dyDescent="0.25">
      <c r="E2094" t="str">
        <f>""</f>
        <v/>
      </c>
      <c r="F2094" t="str">
        <f>""</f>
        <v/>
      </c>
      <c r="G2094" s="4">
        <v>88.31</v>
      </c>
      <c r="H2094" t="str">
        <f t="shared" si="40"/>
        <v>MEDICARE TAXES</v>
      </c>
    </row>
    <row r="2095" spans="5:8" x14ac:dyDescent="0.25">
      <c r="E2095" t="str">
        <f>""</f>
        <v/>
      </c>
      <c r="F2095" t="str">
        <f>""</f>
        <v/>
      </c>
      <c r="G2095" s="4">
        <v>14274.73</v>
      </c>
      <c r="H2095" t="str">
        <f t="shared" si="40"/>
        <v>MEDICARE TAXES</v>
      </c>
    </row>
    <row r="2096" spans="5:8" x14ac:dyDescent="0.25">
      <c r="E2096" t="str">
        <f>"T4 202112177864"</f>
        <v>T4 202112177864</v>
      </c>
      <c r="F2096" t="str">
        <f>"MEDICARE TAXES"</f>
        <v>MEDICARE TAXES</v>
      </c>
      <c r="G2096" s="4">
        <v>449.43</v>
      </c>
      <c r="H2096" t="str">
        <f t="shared" si="40"/>
        <v>MEDICARE TAXES</v>
      </c>
    </row>
    <row r="2097" spans="1:8" x14ac:dyDescent="0.25">
      <c r="E2097" t="str">
        <f>""</f>
        <v/>
      </c>
      <c r="F2097" t="str">
        <f>""</f>
        <v/>
      </c>
      <c r="G2097" s="4">
        <v>449.43</v>
      </c>
      <c r="H2097" t="str">
        <f t="shared" si="40"/>
        <v>MEDICARE TAXES</v>
      </c>
    </row>
    <row r="2098" spans="1:8" x14ac:dyDescent="0.25">
      <c r="E2098" t="str">
        <f>"T4 202112177865"</f>
        <v>T4 202112177865</v>
      </c>
      <c r="F2098" t="str">
        <f>"MEDICARE TAXES"</f>
        <v>MEDICARE TAXES</v>
      </c>
      <c r="G2098" s="4">
        <v>529.96</v>
      </c>
      <c r="H2098" t="str">
        <f t="shared" si="40"/>
        <v>MEDICARE TAXES</v>
      </c>
    </row>
    <row r="2099" spans="1:8" x14ac:dyDescent="0.25">
      <c r="E2099" t="str">
        <f>""</f>
        <v/>
      </c>
      <c r="F2099" t="str">
        <f>""</f>
        <v/>
      </c>
      <c r="G2099" s="4">
        <v>529.96</v>
      </c>
      <c r="H2099" t="str">
        <f t="shared" si="40"/>
        <v>MEDICARE TAXES</v>
      </c>
    </row>
    <row r="2100" spans="1:8" x14ac:dyDescent="0.25">
      <c r="A2100" t="s">
        <v>424</v>
      </c>
      <c r="B2100">
        <v>1527</v>
      </c>
      <c r="C2100" s="4">
        <v>425.32</v>
      </c>
      <c r="D2100" s="1">
        <v>44557</v>
      </c>
      <c r="E2100" t="str">
        <f>"LIX202112077701"</f>
        <v>LIX202112077701</v>
      </c>
      <c r="F2100" t="str">
        <f>"TEXAS LIFE/OLIVO GROUP"</f>
        <v>TEXAS LIFE/OLIVO GROUP</v>
      </c>
      <c r="G2100" s="4">
        <v>212.66</v>
      </c>
      <c r="H2100" t="str">
        <f>"TEXAS LIFE/OLIVO GROUP"</f>
        <v>TEXAS LIFE/OLIVO GROUP</v>
      </c>
    </row>
    <row r="2101" spans="1:8" x14ac:dyDescent="0.25">
      <c r="E2101" t="str">
        <f>"LIX202112177863"</f>
        <v>LIX202112177863</v>
      </c>
      <c r="F2101" t="str">
        <f>"TEXAS LIFE/OLIVO GROUP"</f>
        <v>TEXAS LIFE/OLIVO GROUP</v>
      </c>
      <c r="G2101" s="4">
        <v>212.66</v>
      </c>
      <c r="H2101" t="str">
        <f>"TEXAS LIFE/OLIVO GROUP"</f>
        <v>TEXAS LIFE/OLIVO GROUP</v>
      </c>
    </row>
    <row r="2102" spans="1:8" x14ac:dyDescent="0.25">
      <c r="A2102" t="s">
        <v>425</v>
      </c>
      <c r="B2102">
        <v>48550</v>
      </c>
      <c r="C2102" s="4">
        <v>100</v>
      </c>
      <c r="D2102" s="1">
        <v>44557</v>
      </c>
      <c r="E2102" t="str">
        <f>"PHI202112077702"</f>
        <v>PHI202112077702</v>
      </c>
      <c r="F2102" t="str">
        <f>"PHI AIR"</f>
        <v>PHI AIR</v>
      </c>
      <c r="G2102" s="4">
        <v>-25</v>
      </c>
      <c r="H2102" t="str">
        <f>"PHI AIR"</f>
        <v>PHI AIR</v>
      </c>
    </row>
    <row r="2103" spans="1:8" x14ac:dyDescent="0.25">
      <c r="E2103" t="str">
        <f>"PHI202112177863"</f>
        <v>PHI202112177863</v>
      </c>
      <c r="F2103" t="str">
        <f>"PHI AIR"</f>
        <v>PHI AIR</v>
      </c>
      <c r="G2103" s="4">
        <v>-25</v>
      </c>
      <c r="H2103" t="str">
        <f>"PHI AIR"</f>
        <v>PHI AIR</v>
      </c>
    </row>
    <row r="2104" spans="1:8" x14ac:dyDescent="0.25">
      <c r="E2104" t="str">
        <f>"202112277961"</f>
        <v>202112277961</v>
      </c>
      <c r="F2104" t="str">
        <f>"ADJ - DECEMBER 2021"</f>
        <v>ADJ - DECEMBER 2021</v>
      </c>
      <c r="G2104" s="4">
        <v>25</v>
      </c>
      <c r="H2104" t="str">
        <f>"ADJ - DECEMBER 2021"</f>
        <v>ADJ - DECEMBER 2021</v>
      </c>
    </row>
    <row r="2105" spans="1:8" x14ac:dyDescent="0.25">
      <c r="E2105" t="str">
        <f>"PHI202112077701"</f>
        <v>PHI202112077701</v>
      </c>
      <c r="F2105" t="str">
        <f>"PHI AIR"</f>
        <v>PHI AIR</v>
      </c>
      <c r="G2105" s="4">
        <v>125</v>
      </c>
      <c r="H2105" t="str">
        <f>"PHI AIR"</f>
        <v>PHI AIR</v>
      </c>
    </row>
    <row r="2106" spans="1:8" x14ac:dyDescent="0.25">
      <c r="A2106" t="s">
        <v>426</v>
      </c>
      <c r="B2106">
        <v>1478</v>
      </c>
      <c r="C2106" s="4">
        <v>7627.95</v>
      </c>
      <c r="D2106" s="1">
        <v>44540</v>
      </c>
      <c r="E2106" t="str">
        <f>"FSA202112077701"</f>
        <v>FSA202112077701</v>
      </c>
      <c r="F2106" t="str">
        <f>"STERLING FSA"</f>
        <v>STERLING FSA</v>
      </c>
      <c r="G2106" s="4">
        <v>7217.95</v>
      </c>
      <c r="H2106" t="str">
        <f>"STERLING FSA"</f>
        <v>STERLING FSA</v>
      </c>
    </row>
    <row r="2107" spans="1:8" x14ac:dyDescent="0.25">
      <c r="E2107" t="str">
        <f>"FSA202112077702"</f>
        <v>FSA202112077702</v>
      </c>
      <c r="F2107" t="str">
        <f>"STERLING FSA"</f>
        <v>STERLING FSA</v>
      </c>
      <c r="G2107" s="4">
        <v>360</v>
      </c>
      <c r="H2107" t="str">
        <f>"STERLING FSA"</f>
        <v>STERLING FSA</v>
      </c>
    </row>
    <row r="2108" spans="1:8" x14ac:dyDescent="0.25">
      <c r="E2108" t="str">
        <f>"FSC202112077701"</f>
        <v>FSC202112077701</v>
      </c>
      <c r="F2108" t="str">
        <f>"STERLING DEPENDENT CARE"</f>
        <v>STERLING DEPENDENT CARE</v>
      </c>
      <c r="G2108" s="4">
        <v>50</v>
      </c>
      <c r="H2108" t="str">
        <f>"STERLING DEPENDENT CARE"</f>
        <v>STERLING DEPENDENT CARE</v>
      </c>
    </row>
    <row r="2109" spans="1:8" x14ac:dyDescent="0.25">
      <c r="A2109" t="s">
        <v>426</v>
      </c>
      <c r="B2109">
        <v>1479</v>
      </c>
      <c r="C2109" s="4">
        <v>3333.6</v>
      </c>
      <c r="D2109" s="1">
        <v>44540</v>
      </c>
      <c r="E2109" t="str">
        <f>"HRA202112077701"</f>
        <v>HRA202112077701</v>
      </c>
      <c r="F2109" t="str">
        <f>"STERLING HRA"</f>
        <v>STERLING HRA</v>
      </c>
      <c r="G2109" s="4">
        <v>416.7</v>
      </c>
      <c r="H2109" t="str">
        <f t="shared" ref="H2109:H2114" si="41">"STERLING HRA"</f>
        <v>STERLING HRA</v>
      </c>
    </row>
    <row r="2110" spans="1:8" x14ac:dyDescent="0.25">
      <c r="E2110" t="str">
        <f>""</f>
        <v/>
      </c>
      <c r="F2110" t="str">
        <f>""</f>
        <v/>
      </c>
      <c r="G2110" s="4">
        <v>833.4</v>
      </c>
      <c r="H2110" t="str">
        <f t="shared" si="41"/>
        <v>STERLING HRA</v>
      </c>
    </row>
    <row r="2111" spans="1:8" x14ac:dyDescent="0.25">
      <c r="E2111" t="str">
        <f>""</f>
        <v/>
      </c>
      <c r="F2111" t="str">
        <f>""</f>
        <v/>
      </c>
      <c r="G2111" s="4">
        <v>416.7</v>
      </c>
      <c r="H2111" t="str">
        <f t="shared" si="41"/>
        <v>STERLING HRA</v>
      </c>
    </row>
    <row r="2112" spans="1:8" x14ac:dyDescent="0.25">
      <c r="E2112" t="str">
        <f>""</f>
        <v/>
      </c>
      <c r="F2112" t="str">
        <f>""</f>
        <v/>
      </c>
      <c r="G2112" s="4">
        <v>17.14</v>
      </c>
      <c r="H2112" t="str">
        <f t="shared" si="41"/>
        <v>STERLING HRA</v>
      </c>
    </row>
    <row r="2113" spans="1:8" x14ac:dyDescent="0.25">
      <c r="E2113" t="str">
        <f>""</f>
        <v/>
      </c>
      <c r="F2113" t="str">
        <f>""</f>
        <v/>
      </c>
      <c r="G2113" s="4">
        <v>1232.96</v>
      </c>
      <c r="H2113" t="str">
        <f t="shared" si="41"/>
        <v>STERLING HRA</v>
      </c>
    </row>
    <row r="2114" spans="1:8" x14ac:dyDescent="0.25">
      <c r="E2114" t="str">
        <f>""</f>
        <v/>
      </c>
      <c r="F2114" t="str">
        <f>""</f>
        <v/>
      </c>
      <c r="G2114" s="4">
        <v>416.7</v>
      </c>
      <c r="H2114" t="str">
        <f t="shared" si="41"/>
        <v>STERLING HRA</v>
      </c>
    </row>
    <row r="2115" spans="1:8" x14ac:dyDescent="0.25">
      <c r="A2115" t="s">
        <v>426</v>
      </c>
      <c r="B2115">
        <v>1522</v>
      </c>
      <c r="C2115" s="4">
        <v>7627.95</v>
      </c>
      <c r="D2115" s="1">
        <v>44552</v>
      </c>
      <c r="E2115" t="str">
        <f>"FSA202112177863"</f>
        <v>FSA202112177863</v>
      </c>
      <c r="F2115" t="str">
        <f>"STERLING FSA"</f>
        <v>STERLING FSA</v>
      </c>
      <c r="G2115" s="4">
        <v>7217.95</v>
      </c>
      <c r="H2115" t="str">
        <f>"STERLING FSA"</f>
        <v>STERLING FSA</v>
      </c>
    </row>
    <row r="2116" spans="1:8" x14ac:dyDescent="0.25">
      <c r="E2116" t="str">
        <f>"FSA202112177864"</f>
        <v>FSA202112177864</v>
      </c>
      <c r="F2116" t="str">
        <f>"STERLING FSA"</f>
        <v>STERLING FSA</v>
      </c>
      <c r="G2116" s="4">
        <v>360</v>
      </c>
      <c r="H2116" t="str">
        <f>"STERLING FSA"</f>
        <v>STERLING FSA</v>
      </c>
    </row>
    <row r="2117" spans="1:8" x14ac:dyDescent="0.25">
      <c r="E2117" t="str">
        <f>"FSC202112177863"</f>
        <v>FSC202112177863</v>
      </c>
      <c r="F2117" t="str">
        <f>"STERLING DEPENDENT CARE"</f>
        <v>STERLING DEPENDENT CARE</v>
      </c>
      <c r="G2117" s="4">
        <v>50</v>
      </c>
      <c r="H2117" t="str">
        <f>"STERLING DEPENDENT CARE"</f>
        <v>STERLING DEPENDENT CARE</v>
      </c>
    </row>
    <row r="2118" spans="1:8" x14ac:dyDescent="0.25">
      <c r="A2118" t="s">
        <v>426</v>
      </c>
      <c r="B2118">
        <v>1533</v>
      </c>
      <c r="C2118" s="4">
        <v>2356</v>
      </c>
      <c r="D2118" s="1">
        <v>44557</v>
      </c>
      <c r="E2118" t="str">
        <f>"202112277971"</f>
        <v>202112277971</v>
      </c>
      <c r="F2118" t="str">
        <f>"ADJ - DECEMBER 2021"</f>
        <v>ADJ - DECEMBER 2021</v>
      </c>
      <c r="G2118" s="4">
        <v>189.5</v>
      </c>
      <c r="H2118" t="str">
        <f>"ADJ - DECEMBER 2021"</f>
        <v>ADJ - DECEMBER 2021</v>
      </c>
    </row>
    <row r="2119" spans="1:8" x14ac:dyDescent="0.25">
      <c r="E2119" t="str">
        <f>"FSF202112077701"</f>
        <v>FSF202112077701</v>
      </c>
      <c r="F2119" t="str">
        <f>"STERLING - FSA  FEES"</f>
        <v>STERLING - FSA  FEES</v>
      </c>
      <c r="G2119" s="4">
        <v>8.6</v>
      </c>
      <c r="H2119" t="str">
        <f t="shared" ref="H2119:H2150" si="42">"STERLING - FSA  FEES"</f>
        <v>STERLING - FSA  FEES</v>
      </c>
    </row>
    <row r="2120" spans="1:8" x14ac:dyDescent="0.25">
      <c r="E2120" t="str">
        <f>""</f>
        <v/>
      </c>
      <c r="F2120" t="str">
        <f>""</f>
        <v/>
      </c>
      <c r="G2120" s="4">
        <v>3.5</v>
      </c>
      <c r="H2120" t="str">
        <f t="shared" si="42"/>
        <v>STERLING - FSA  FEES</v>
      </c>
    </row>
    <row r="2121" spans="1:8" x14ac:dyDescent="0.25">
      <c r="E2121" t="str">
        <f>""</f>
        <v/>
      </c>
      <c r="F2121" t="str">
        <f>""</f>
        <v/>
      </c>
      <c r="G2121" s="4">
        <v>10.5</v>
      </c>
      <c r="H2121" t="str">
        <f t="shared" si="42"/>
        <v>STERLING - FSA  FEES</v>
      </c>
    </row>
    <row r="2122" spans="1:8" x14ac:dyDescent="0.25">
      <c r="E2122" t="str">
        <f>""</f>
        <v/>
      </c>
      <c r="F2122" t="str">
        <f>""</f>
        <v/>
      </c>
      <c r="G2122" s="4">
        <v>5</v>
      </c>
      <c r="H2122" t="str">
        <f t="shared" si="42"/>
        <v>STERLING - FSA  FEES</v>
      </c>
    </row>
    <row r="2123" spans="1:8" x14ac:dyDescent="0.25">
      <c r="E2123" t="str">
        <f>""</f>
        <v/>
      </c>
      <c r="F2123" t="str">
        <f>""</f>
        <v/>
      </c>
      <c r="G2123" s="4">
        <v>1.75</v>
      </c>
      <c r="H2123" t="str">
        <f t="shared" si="42"/>
        <v>STERLING - FSA  FEES</v>
      </c>
    </row>
    <row r="2124" spans="1:8" x14ac:dyDescent="0.25">
      <c r="E2124" t="str">
        <f>""</f>
        <v/>
      </c>
      <c r="F2124" t="str">
        <f>""</f>
        <v/>
      </c>
      <c r="G2124" s="4">
        <v>8.75</v>
      </c>
      <c r="H2124" t="str">
        <f t="shared" si="42"/>
        <v>STERLING - FSA  FEES</v>
      </c>
    </row>
    <row r="2125" spans="1:8" x14ac:dyDescent="0.25">
      <c r="E2125" t="str">
        <f>""</f>
        <v/>
      </c>
      <c r="F2125" t="str">
        <f>""</f>
        <v/>
      </c>
      <c r="G2125" s="4">
        <v>5.25</v>
      </c>
      <c r="H2125" t="str">
        <f t="shared" si="42"/>
        <v>STERLING - FSA  FEES</v>
      </c>
    </row>
    <row r="2126" spans="1:8" x14ac:dyDescent="0.25">
      <c r="E2126" t="str">
        <f>""</f>
        <v/>
      </c>
      <c r="F2126" t="str">
        <f>""</f>
        <v/>
      </c>
      <c r="G2126" s="4">
        <v>3.5</v>
      </c>
      <c r="H2126" t="str">
        <f t="shared" si="42"/>
        <v>STERLING - FSA  FEES</v>
      </c>
    </row>
    <row r="2127" spans="1:8" x14ac:dyDescent="0.25">
      <c r="E2127" t="str">
        <f>""</f>
        <v/>
      </c>
      <c r="F2127" t="str">
        <f>""</f>
        <v/>
      </c>
      <c r="G2127" s="4">
        <v>1.75</v>
      </c>
      <c r="H2127" t="str">
        <f t="shared" si="42"/>
        <v>STERLING - FSA  FEES</v>
      </c>
    </row>
    <row r="2128" spans="1:8" x14ac:dyDescent="0.25">
      <c r="E2128" t="str">
        <f>""</f>
        <v/>
      </c>
      <c r="F2128" t="str">
        <f>""</f>
        <v/>
      </c>
      <c r="G2128" s="4">
        <v>15.67</v>
      </c>
      <c r="H2128" t="str">
        <f t="shared" si="42"/>
        <v>STERLING - FSA  FEES</v>
      </c>
    </row>
    <row r="2129" spans="5:8" x14ac:dyDescent="0.25">
      <c r="E2129" t="str">
        <f>""</f>
        <v/>
      </c>
      <c r="F2129" t="str">
        <f>""</f>
        <v/>
      </c>
      <c r="G2129" s="4">
        <v>5.25</v>
      </c>
      <c r="H2129" t="str">
        <f t="shared" si="42"/>
        <v>STERLING - FSA  FEES</v>
      </c>
    </row>
    <row r="2130" spans="5:8" x14ac:dyDescent="0.25">
      <c r="E2130" t="str">
        <f>""</f>
        <v/>
      </c>
      <c r="F2130" t="str">
        <f>""</f>
        <v/>
      </c>
      <c r="G2130" s="4">
        <v>3.5</v>
      </c>
      <c r="H2130" t="str">
        <f t="shared" si="42"/>
        <v>STERLING - FSA  FEES</v>
      </c>
    </row>
    <row r="2131" spans="5:8" x14ac:dyDescent="0.25">
      <c r="E2131" t="str">
        <f>""</f>
        <v/>
      </c>
      <c r="F2131" t="str">
        <f>""</f>
        <v/>
      </c>
      <c r="G2131" s="4">
        <v>1.75</v>
      </c>
      <c r="H2131" t="str">
        <f t="shared" si="42"/>
        <v>STERLING - FSA  FEES</v>
      </c>
    </row>
    <row r="2132" spans="5:8" x14ac:dyDescent="0.25">
      <c r="E2132" t="str">
        <f>""</f>
        <v/>
      </c>
      <c r="F2132" t="str">
        <f>""</f>
        <v/>
      </c>
      <c r="G2132" s="4">
        <v>3.5</v>
      </c>
      <c r="H2132" t="str">
        <f t="shared" si="42"/>
        <v>STERLING - FSA  FEES</v>
      </c>
    </row>
    <row r="2133" spans="5:8" x14ac:dyDescent="0.25">
      <c r="E2133" t="str">
        <f>""</f>
        <v/>
      </c>
      <c r="F2133" t="str">
        <f>""</f>
        <v/>
      </c>
      <c r="G2133" s="4">
        <v>3.5</v>
      </c>
      <c r="H2133" t="str">
        <f t="shared" si="42"/>
        <v>STERLING - FSA  FEES</v>
      </c>
    </row>
    <row r="2134" spans="5:8" x14ac:dyDescent="0.25">
      <c r="E2134" t="str">
        <f>""</f>
        <v/>
      </c>
      <c r="F2134" t="str">
        <f>""</f>
        <v/>
      </c>
      <c r="G2134" s="4">
        <v>14</v>
      </c>
      <c r="H2134" t="str">
        <f t="shared" si="42"/>
        <v>STERLING - FSA  FEES</v>
      </c>
    </row>
    <row r="2135" spans="5:8" x14ac:dyDescent="0.25">
      <c r="E2135" t="str">
        <f>""</f>
        <v/>
      </c>
      <c r="F2135" t="str">
        <f>""</f>
        <v/>
      </c>
      <c r="G2135" s="4">
        <v>3.5</v>
      </c>
      <c r="H2135" t="str">
        <f t="shared" si="42"/>
        <v>STERLING - FSA  FEES</v>
      </c>
    </row>
    <row r="2136" spans="5:8" x14ac:dyDescent="0.25">
      <c r="E2136" t="str">
        <f>""</f>
        <v/>
      </c>
      <c r="F2136" t="str">
        <f>""</f>
        <v/>
      </c>
      <c r="G2136" s="4">
        <v>12.25</v>
      </c>
      <c r="H2136" t="str">
        <f t="shared" si="42"/>
        <v>STERLING - FSA  FEES</v>
      </c>
    </row>
    <row r="2137" spans="5:8" x14ac:dyDescent="0.25">
      <c r="E2137" t="str">
        <f>""</f>
        <v/>
      </c>
      <c r="F2137" t="str">
        <f>""</f>
        <v/>
      </c>
      <c r="G2137" s="4">
        <v>1.75</v>
      </c>
      <c r="H2137" t="str">
        <f t="shared" si="42"/>
        <v>STERLING - FSA  FEES</v>
      </c>
    </row>
    <row r="2138" spans="5:8" x14ac:dyDescent="0.25">
      <c r="E2138" t="str">
        <f>""</f>
        <v/>
      </c>
      <c r="F2138" t="str">
        <f>""</f>
        <v/>
      </c>
      <c r="G2138" s="4">
        <v>1.75</v>
      </c>
      <c r="H2138" t="str">
        <f t="shared" si="42"/>
        <v>STERLING - FSA  FEES</v>
      </c>
    </row>
    <row r="2139" spans="5:8" x14ac:dyDescent="0.25">
      <c r="E2139" t="str">
        <f>""</f>
        <v/>
      </c>
      <c r="F2139" t="str">
        <f>""</f>
        <v/>
      </c>
      <c r="G2139" s="4">
        <v>1.75</v>
      </c>
      <c r="H2139" t="str">
        <f t="shared" si="42"/>
        <v>STERLING - FSA  FEES</v>
      </c>
    </row>
    <row r="2140" spans="5:8" x14ac:dyDescent="0.25">
      <c r="E2140" t="str">
        <f>""</f>
        <v/>
      </c>
      <c r="F2140" t="str">
        <f>""</f>
        <v/>
      </c>
      <c r="G2140" s="4">
        <v>33.72</v>
      </c>
      <c r="H2140" t="str">
        <f t="shared" si="42"/>
        <v>STERLING - FSA  FEES</v>
      </c>
    </row>
    <row r="2141" spans="5:8" x14ac:dyDescent="0.25">
      <c r="E2141" t="str">
        <f>""</f>
        <v/>
      </c>
      <c r="F2141" t="str">
        <f>""</f>
        <v/>
      </c>
      <c r="G2141" s="4">
        <v>3.45</v>
      </c>
      <c r="H2141" t="str">
        <f t="shared" si="42"/>
        <v>STERLING - FSA  FEES</v>
      </c>
    </row>
    <row r="2142" spans="5:8" x14ac:dyDescent="0.25">
      <c r="E2142" t="str">
        <f>""</f>
        <v/>
      </c>
      <c r="F2142" t="str">
        <f>""</f>
        <v/>
      </c>
      <c r="G2142" s="4">
        <v>36.33</v>
      </c>
      <c r="H2142" t="str">
        <f t="shared" si="42"/>
        <v>STERLING - FSA  FEES</v>
      </c>
    </row>
    <row r="2143" spans="5:8" x14ac:dyDescent="0.25">
      <c r="E2143" t="str">
        <f>""</f>
        <v/>
      </c>
      <c r="F2143" t="str">
        <f>""</f>
        <v/>
      </c>
      <c r="G2143" s="4">
        <v>7</v>
      </c>
      <c r="H2143" t="str">
        <f t="shared" si="42"/>
        <v>STERLING - FSA  FEES</v>
      </c>
    </row>
    <row r="2144" spans="5:8" x14ac:dyDescent="0.25">
      <c r="E2144" t="str">
        <f>""</f>
        <v/>
      </c>
      <c r="F2144" t="str">
        <f>""</f>
        <v/>
      </c>
      <c r="G2144" s="4">
        <v>1.75</v>
      </c>
      <c r="H2144" t="str">
        <f t="shared" si="42"/>
        <v>STERLING - FSA  FEES</v>
      </c>
    </row>
    <row r="2145" spans="5:8" x14ac:dyDescent="0.25">
      <c r="E2145" t="str">
        <f>""</f>
        <v/>
      </c>
      <c r="F2145" t="str">
        <f>""</f>
        <v/>
      </c>
      <c r="G2145" s="4">
        <v>3.5</v>
      </c>
      <c r="H2145" t="str">
        <f t="shared" si="42"/>
        <v>STERLING - FSA  FEES</v>
      </c>
    </row>
    <row r="2146" spans="5:8" x14ac:dyDescent="0.25">
      <c r="E2146" t="str">
        <f>""</f>
        <v/>
      </c>
      <c r="F2146" t="str">
        <f>""</f>
        <v/>
      </c>
      <c r="G2146" s="4">
        <v>0.45</v>
      </c>
      <c r="H2146" t="str">
        <f t="shared" si="42"/>
        <v>STERLING - FSA  FEES</v>
      </c>
    </row>
    <row r="2147" spans="5:8" x14ac:dyDescent="0.25">
      <c r="E2147" t="str">
        <f>""</f>
        <v/>
      </c>
      <c r="F2147" t="str">
        <f>""</f>
        <v/>
      </c>
      <c r="G2147" s="4">
        <v>1.75</v>
      </c>
      <c r="H2147" t="str">
        <f t="shared" si="42"/>
        <v>STERLING - FSA  FEES</v>
      </c>
    </row>
    <row r="2148" spans="5:8" x14ac:dyDescent="0.25">
      <c r="E2148" t="str">
        <f>""</f>
        <v/>
      </c>
      <c r="F2148" t="str">
        <f>""</f>
        <v/>
      </c>
      <c r="G2148" s="4">
        <v>3.5</v>
      </c>
      <c r="H2148" t="str">
        <f t="shared" si="42"/>
        <v>STERLING - FSA  FEES</v>
      </c>
    </row>
    <row r="2149" spans="5:8" x14ac:dyDescent="0.25">
      <c r="E2149" t="str">
        <f>""</f>
        <v/>
      </c>
      <c r="F2149" t="str">
        <f>""</f>
        <v/>
      </c>
      <c r="G2149" s="4">
        <v>1.9</v>
      </c>
      <c r="H2149" t="str">
        <f t="shared" si="42"/>
        <v>STERLING - FSA  FEES</v>
      </c>
    </row>
    <row r="2150" spans="5:8" x14ac:dyDescent="0.25">
      <c r="E2150" t="str">
        <f>""</f>
        <v/>
      </c>
      <c r="F2150" t="str">
        <f>""</f>
        <v/>
      </c>
      <c r="G2150" s="4">
        <v>1.75</v>
      </c>
      <c r="H2150" t="str">
        <f t="shared" si="42"/>
        <v>STERLING - FSA  FEES</v>
      </c>
    </row>
    <row r="2151" spans="5:8" x14ac:dyDescent="0.25">
      <c r="E2151" t="str">
        <f>""</f>
        <v/>
      </c>
      <c r="F2151" t="str">
        <f>""</f>
        <v/>
      </c>
      <c r="G2151" s="4">
        <v>7</v>
      </c>
      <c r="H2151" t="str">
        <f t="shared" ref="H2151:H2182" si="43">"STERLING - FSA  FEES"</f>
        <v>STERLING - FSA  FEES</v>
      </c>
    </row>
    <row r="2152" spans="5:8" x14ac:dyDescent="0.25">
      <c r="E2152" t="str">
        <f>""</f>
        <v/>
      </c>
      <c r="F2152" t="str">
        <f>""</f>
        <v/>
      </c>
      <c r="G2152" s="4">
        <v>8.75</v>
      </c>
      <c r="H2152" t="str">
        <f t="shared" si="43"/>
        <v>STERLING - FSA  FEES</v>
      </c>
    </row>
    <row r="2153" spans="5:8" x14ac:dyDescent="0.25">
      <c r="E2153" t="str">
        <f>""</f>
        <v/>
      </c>
      <c r="F2153" t="str">
        <f>""</f>
        <v/>
      </c>
      <c r="G2153" s="4">
        <v>3.05</v>
      </c>
      <c r="H2153" t="str">
        <f t="shared" si="43"/>
        <v>STERLING - FSA  FEES</v>
      </c>
    </row>
    <row r="2154" spans="5:8" x14ac:dyDescent="0.25">
      <c r="E2154" t="str">
        <f>""</f>
        <v/>
      </c>
      <c r="F2154" t="str">
        <f>""</f>
        <v/>
      </c>
      <c r="G2154" s="4">
        <v>0.02</v>
      </c>
      <c r="H2154" t="str">
        <f t="shared" si="43"/>
        <v>STERLING - FSA  FEES</v>
      </c>
    </row>
    <row r="2155" spans="5:8" x14ac:dyDescent="0.25">
      <c r="E2155" t="str">
        <f>""</f>
        <v/>
      </c>
      <c r="F2155" t="str">
        <f>""</f>
        <v/>
      </c>
      <c r="G2155" s="4">
        <v>0.06</v>
      </c>
      <c r="H2155" t="str">
        <f t="shared" si="43"/>
        <v>STERLING - FSA  FEES</v>
      </c>
    </row>
    <row r="2156" spans="5:8" x14ac:dyDescent="0.25">
      <c r="E2156" t="str">
        <f>""</f>
        <v/>
      </c>
      <c r="F2156" t="str">
        <f>""</f>
        <v/>
      </c>
      <c r="G2156" s="4">
        <v>0.25</v>
      </c>
      <c r="H2156" t="str">
        <f t="shared" si="43"/>
        <v>STERLING - FSA  FEES</v>
      </c>
    </row>
    <row r="2157" spans="5:8" x14ac:dyDescent="0.25">
      <c r="E2157" t="str">
        <f>"FSF202112077702"</f>
        <v>FSF202112077702</v>
      </c>
      <c r="F2157" t="str">
        <f>"STERLING - FSA  FEES"</f>
        <v>STERLING - FSA  FEES</v>
      </c>
      <c r="G2157" s="4">
        <v>8.75</v>
      </c>
      <c r="H2157" t="str">
        <f t="shared" si="43"/>
        <v>STERLING - FSA  FEES</v>
      </c>
    </row>
    <row r="2158" spans="5:8" x14ac:dyDescent="0.25">
      <c r="E2158" t="str">
        <f>"FSF202112177863"</f>
        <v>FSF202112177863</v>
      </c>
      <c r="F2158" t="str">
        <f>"STERLING - FSA  FEES"</f>
        <v>STERLING - FSA  FEES</v>
      </c>
      <c r="G2158" s="4">
        <v>8.6</v>
      </c>
      <c r="H2158" t="str">
        <f t="shared" si="43"/>
        <v>STERLING - FSA  FEES</v>
      </c>
    </row>
    <row r="2159" spans="5:8" x14ac:dyDescent="0.25">
      <c r="E2159" t="str">
        <f>""</f>
        <v/>
      </c>
      <c r="F2159" t="str">
        <f>""</f>
        <v/>
      </c>
      <c r="G2159" s="4">
        <v>3.5</v>
      </c>
      <c r="H2159" t="str">
        <f t="shared" si="43"/>
        <v>STERLING - FSA  FEES</v>
      </c>
    </row>
    <row r="2160" spans="5:8" x14ac:dyDescent="0.25">
      <c r="E2160" t="str">
        <f>""</f>
        <v/>
      </c>
      <c r="F2160" t="str">
        <f>""</f>
        <v/>
      </c>
      <c r="G2160" s="4">
        <v>10.5</v>
      </c>
      <c r="H2160" t="str">
        <f t="shared" si="43"/>
        <v>STERLING - FSA  FEES</v>
      </c>
    </row>
    <row r="2161" spans="5:8" x14ac:dyDescent="0.25">
      <c r="E2161" t="str">
        <f>""</f>
        <v/>
      </c>
      <c r="F2161" t="str">
        <f>""</f>
        <v/>
      </c>
      <c r="G2161" s="4">
        <v>5</v>
      </c>
      <c r="H2161" t="str">
        <f t="shared" si="43"/>
        <v>STERLING - FSA  FEES</v>
      </c>
    </row>
    <row r="2162" spans="5:8" x14ac:dyDescent="0.25">
      <c r="E2162" t="str">
        <f>""</f>
        <v/>
      </c>
      <c r="F2162" t="str">
        <f>""</f>
        <v/>
      </c>
      <c r="G2162" s="4">
        <v>1.75</v>
      </c>
      <c r="H2162" t="str">
        <f t="shared" si="43"/>
        <v>STERLING - FSA  FEES</v>
      </c>
    </row>
    <row r="2163" spans="5:8" x14ac:dyDescent="0.25">
      <c r="E2163" t="str">
        <f>""</f>
        <v/>
      </c>
      <c r="F2163" t="str">
        <f>""</f>
        <v/>
      </c>
      <c r="G2163" s="4">
        <v>8.75</v>
      </c>
      <c r="H2163" t="str">
        <f t="shared" si="43"/>
        <v>STERLING - FSA  FEES</v>
      </c>
    </row>
    <row r="2164" spans="5:8" x14ac:dyDescent="0.25">
      <c r="E2164" t="str">
        <f>""</f>
        <v/>
      </c>
      <c r="F2164" t="str">
        <f>""</f>
        <v/>
      </c>
      <c r="G2164" s="4">
        <v>5.25</v>
      </c>
      <c r="H2164" t="str">
        <f t="shared" si="43"/>
        <v>STERLING - FSA  FEES</v>
      </c>
    </row>
    <row r="2165" spans="5:8" x14ac:dyDescent="0.25">
      <c r="E2165" t="str">
        <f>""</f>
        <v/>
      </c>
      <c r="F2165" t="str">
        <f>""</f>
        <v/>
      </c>
      <c r="G2165" s="4">
        <v>3.5</v>
      </c>
      <c r="H2165" t="str">
        <f t="shared" si="43"/>
        <v>STERLING - FSA  FEES</v>
      </c>
    </row>
    <row r="2166" spans="5:8" x14ac:dyDescent="0.25">
      <c r="E2166" t="str">
        <f>""</f>
        <v/>
      </c>
      <c r="F2166" t="str">
        <f>""</f>
        <v/>
      </c>
      <c r="G2166" s="4">
        <v>1.75</v>
      </c>
      <c r="H2166" t="str">
        <f t="shared" si="43"/>
        <v>STERLING - FSA  FEES</v>
      </c>
    </row>
    <row r="2167" spans="5:8" x14ac:dyDescent="0.25">
      <c r="E2167" t="str">
        <f>""</f>
        <v/>
      </c>
      <c r="F2167" t="str">
        <f>""</f>
        <v/>
      </c>
      <c r="G2167" s="4">
        <v>15.67</v>
      </c>
      <c r="H2167" t="str">
        <f t="shared" si="43"/>
        <v>STERLING - FSA  FEES</v>
      </c>
    </row>
    <row r="2168" spans="5:8" x14ac:dyDescent="0.25">
      <c r="E2168" t="str">
        <f>""</f>
        <v/>
      </c>
      <c r="F2168" t="str">
        <f>""</f>
        <v/>
      </c>
      <c r="G2168" s="4">
        <v>5.25</v>
      </c>
      <c r="H2168" t="str">
        <f t="shared" si="43"/>
        <v>STERLING - FSA  FEES</v>
      </c>
    </row>
    <row r="2169" spans="5:8" x14ac:dyDescent="0.25">
      <c r="E2169" t="str">
        <f>""</f>
        <v/>
      </c>
      <c r="F2169" t="str">
        <f>""</f>
        <v/>
      </c>
      <c r="G2169" s="4">
        <v>3.5</v>
      </c>
      <c r="H2169" t="str">
        <f t="shared" si="43"/>
        <v>STERLING - FSA  FEES</v>
      </c>
    </row>
    <row r="2170" spans="5:8" x14ac:dyDescent="0.25">
      <c r="E2170" t="str">
        <f>""</f>
        <v/>
      </c>
      <c r="F2170" t="str">
        <f>""</f>
        <v/>
      </c>
      <c r="G2170" s="4">
        <v>1.75</v>
      </c>
      <c r="H2170" t="str">
        <f t="shared" si="43"/>
        <v>STERLING - FSA  FEES</v>
      </c>
    </row>
    <row r="2171" spans="5:8" x14ac:dyDescent="0.25">
      <c r="E2171" t="str">
        <f>""</f>
        <v/>
      </c>
      <c r="F2171" t="str">
        <f>""</f>
        <v/>
      </c>
      <c r="G2171" s="4">
        <v>3.5</v>
      </c>
      <c r="H2171" t="str">
        <f t="shared" si="43"/>
        <v>STERLING - FSA  FEES</v>
      </c>
    </row>
    <row r="2172" spans="5:8" x14ac:dyDescent="0.25">
      <c r="E2172" t="str">
        <f>""</f>
        <v/>
      </c>
      <c r="F2172" t="str">
        <f>""</f>
        <v/>
      </c>
      <c r="G2172" s="4">
        <v>3.5</v>
      </c>
      <c r="H2172" t="str">
        <f t="shared" si="43"/>
        <v>STERLING - FSA  FEES</v>
      </c>
    </row>
    <row r="2173" spans="5:8" x14ac:dyDescent="0.25">
      <c r="E2173" t="str">
        <f>""</f>
        <v/>
      </c>
      <c r="F2173" t="str">
        <f>""</f>
        <v/>
      </c>
      <c r="G2173" s="4">
        <v>14</v>
      </c>
      <c r="H2173" t="str">
        <f t="shared" si="43"/>
        <v>STERLING - FSA  FEES</v>
      </c>
    </row>
    <row r="2174" spans="5:8" x14ac:dyDescent="0.25">
      <c r="E2174" t="str">
        <f>""</f>
        <v/>
      </c>
      <c r="F2174" t="str">
        <f>""</f>
        <v/>
      </c>
      <c r="G2174" s="4">
        <v>3.5</v>
      </c>
      <c r="H2174" t="str">
        <f t="shared" si="43"/>
        <v>STERLING - FSA  FEES</v>
      </c>
    </row>
    <row r="2175" spans="5:8" x14ac:dyDescent="0.25">
      <c r="E2175" t="str">
        <f>""</f>
        <v/>
      </c>
      <c r="F2175" t="str">
        <f>""</f>
        <v/>
      </c>
      <c r="G2175" s="4">
        <v>12.25</v>
      </c>
      <c r="H2175" t="str">
        <f t="shared" si="43"/>
        <v>STERLING - FSA  FEES</v>
      </c>
    </row>
    <row r="2176" spans="5:8" x14ac:dyDescent="0.25">
      <c r="E2176" t="str">
        <f>""</f>
        <v/>
      </c>
      <c r="F2176" t="str">
        <f>""</f>
        <v/>
      </c>
      <c r="G2176" s="4">
        <v>1.75</v>
      </c>
      <c r="H2176" t="str">
        <f t="shared" si="43"/>
        <v>STERLING - FSA  FEES</v>
      </c>
    </row>
    <row r="2177" spans="5:8" x14ac:dyDescent="0.25">
      <c r="E2177" t="str">
        <f>""</f>
        <v/>
      </c>
      <c r="F2177" t="str">
        <f>""</f>
        <v/>
      </c>
      <c r="G2177" s="4">
        <v>1.75</v>
      </c>
      <c r="H2177" t="str">
        <f t="shared" si="43"/>
        <v>STERLING - FSA  FEES</v>
      </c>
    </row>
    <row r="2178" spans="5:8" x14ac:dyDescent="0.25">
      <c r="E2178" t="str">
        <f>""</f>
        <v/>
      </c>
      <c r="F2178" t="str">
        <f>""</f>
        <v/>
      </c>
      <c r="G2178" s="4">
        <v>1.75</v>
      </c>
      <c r="H2178" t="str">
        <f t="shared" si="43"/>
        <v>STERLING - FSA  FEES</v>
      </c>
    </row>
    <row r="2179" spans="5:8" x14ac:dyDescent="0.25">
      <c r="E2179" t="str">
        <f>""</f>
        <v/>
      </c>
      <c r="F2179" t="str">
        <f>""</f>
        <v/>
      </c>
      <c r="G2179" s="4">
        <v>33.72</v>
      </c>
      <c r="H2179" t="str">
        <f t="shared" si="43"/>
        <v>STERLING - FSA  FEES</v>
      </c>
    </row>
    <row r="2180" spans="5:8" x14ac:dyDescent="0.25">
      <c r="E2180" t="str">
        <f>""</f>
        <v/>
      </c>
      <c r="F2180" t="str">
        <f>""</f>
        <v/>
      </c>
      <c r="G2180" s="4">
        <v>3.45</v>
      </c>
      <c r="H2180" t="str">
        <f t="shared" si="43"/>
        <v>STERLING - FSA  FEES</v>
      </c>
    </row>
    <row r="2181" spans="5:8" x14ac:dyDescent="0.25">
      <c r="E2181" t="str">
        <f>""</f>
        <v/>
      </c>
      <c r="F2181" t="str">
        <f>""</f>
        <v/>
      </c>
      <c r="G2181" s="4">
        <v>36.33</v>
      </c>
      <c r="H2181" t="str">
        <f t="shared" si="43"/>
        <v>STERLING - FSA  FEES</v>
      </c>
    </row>
    <row r="2182" spans="5:8" x14ac:dyDescent="0.25">
      <c r="E2182" t="str">
        <f>""</f>
        <v/>
      </c>
      <c r="F2182" t="str">
        <f>""</f>
        <v/>
      </c>
      <c r="G2182" s="4">
        <v>7</v>
      </c>
      <c r="H2182" t="str">
        <f t="shared" si="43"/>
        <v>STERLING - FSA  FEES</v>
      </c>
    </row>
    <row r="2183" spans="5:8" x14ac:dyDescent="0.25">
      <c r="E2183" t="str">
        <f>""</f>
        <v/>
      </c>
      <c r="F2183" t="str">
        <f>""</f>
        <v/>
      </c>
      <c r="G2183" s="4">
        <v>1.75</v>
      </c>
      <c r="H2183" t="str">
        <f t="shared" ref="H2183:H2196" si="44">"STERLING - FSA  FEES"</f>
        <v>STERLING - FSA  FEES</v>
      </c>
    </row>
    <row r="2184" spans="5:8" x14ac:dyDescent="0.25">
      <c r="E2184" t="str">
        <f>""</f>
        <v/>
      </c>
      <c r="F2184" t="str">
        <f>""</f>
        <v/>
      </c>
      <c r="G2184" s="4">
        <v>3.5</v>
      </c>
      <c r="H2184" t="str">
        <f t="shared" si="44"/>
        <v>STERLING - FSA  FEES</v>
      </c>
    </row>
    <row r="2185" spans="5:8" x14ac:dyDescent="0.25">
      <c r="E2185" t="str">
        <f>""</f>
        <v/>
      </c>
      <c r="F2185" t="str">
        <f>""</f>
        <v/>
      </c>
      <c r="G2185" s="4">
        <v>0.45</v>
      </c>
      <c r="H2185" t="str">
        <f t="shared" si="44"/>
        <v>STERLING - FSA  FEES</v>
      </c>
    </row>
    <row r="2186" spans="5:8" x14ac:dyDescent="0.25">
      <c r="E2186" t="str">
        <f>""</f>
        <v/>
      </c>
      <c r="F2186" t="str">
        <f>""</f>
        <v/>
      </c>
      <c r="G2186" s="4">
        <v>1.75</v>
      </c>
      <c r="H2186" t="str">
        <f t="shared" si="44"/>
        <v>STERLING - FSA  FEES</v>
      </c>
    </row>
    <row r="2187" spans="5:8" x14ac:dyDescent="0.25">
      <c r="E2187" t="str">
        <f>""</f>
        <v/>
      </c>
      <c r="F2187" t="str">
        <f>""</f>
        <v/>
      </c>
      <c r="G2187" s="4">
        <v>3.5</v>
      </c>
      <c r="H2187" t="str">
        <f t="shared" si="44"/>
        <v>STERLING - FSA  FEES</v>
      </c>
    </row>
    <row r="2188" spans="5:8" x14ac:dyDescent="0.25">
      <c r="E2188" t="str">
        <f>""</f>
        <v/>
      </c>
      <c r="F2188" t="str">
        <f>""</f>
        <v/>
      </c>
      <c r="G2188" s="4">
        <v>1.9</v>
      </c>
      <c r="H2188" t="str">
        <f t="shared" si="44"/>
        <v>STERLING - FSA  FEES</v>
      </c>
    </row>
    <row r="2189" spans="5:8" x14ac:dyDescent="0.25">
      <c r="E2189" t="str">
        <f>""</f>
        <v/>
      </c>
      <c r="F2189" t="str">
        <f>""</f>
        <v/>
      </c>
      <c r="G2189" s="4">
        <v>1.75</v>
      </c>
      <c r="H2189" t="str">
        <f t="shared" si="44"/>
        <v>STERLING - FSA  FEES</v>
      </c>
    </row>
    <row r="2190" spans="5:8" x14ac:dyDescent="0.25">
      <c r="E2190" t="str">
        <f>""</f>
        <v/>
      </c>
      <c r="F2190" t="str">
        <f>""</f>
        <v/>
      </c>
      <c r="G2190" s="4">
        <v>7</v>
      </c>
      <c r="H2190" t="str">
        <f t="shared" si="44"/>
        <v>STERLING - FSA  FEES</v>
      </c>
    </row>
    <row r="2191" spans="5:8" x14ac:dyDescent="0.25">
      <c r="E2191" t="str">
        <f>""</f>
        <v/>
      </c>
      <c r="F2191" t="str">
        <f>""</f>
        <v/>
      </c>
      <c r="G2191" s="4">
        <v>8.75</v>
      </c>
      <c r="H2191" t="str">
        <f t="shared" si="44"/>
        <v>STERLING - FSA  FEES</v>
      </c>
    </row>
    <row r="2192" spans="5:8" x14ac:dyDescent="0.25">
      <c r="E2192" t="str">
        <f>""</f>
        <v/>
      </c>
      <c r="F2192" t="str">
        <f>""</f>
        <v/>
      </c>
      <c r="G2192" s="4">
        <v>3.05</v>
      </c>
      <c r="H2192" t="str">
        <f t="shared" si="44"/>
        <v>STERLING - FSA  FEES</v>
      </c>
    </row>
    <row r="2193" spans="5:8" x14ac:dyDescent="0.25">
      <c r="E2193" t="str">
        <f>""</f>
        <v/>
      </c>
      <c r="F2193" t="str">
        <f>""</f>
        <v/>
      </c>
      <c r="G2193" s="4">
        <v>0.02</v>
      </c>
      <c r="H2193" t="str">
        <f t="shared" si="44"/>
        <v>STERLING - FSA  FEES</v>
      </c>
    </row>
    <row r="2194" spans="5:8" x14ac:dyDescent="0.25">
      <c r="E2194" t="str">
        <f>""</f>
        <v/>
      </c>
      <c r="F2194" t="str">
        <f>""</f>
        <v/>
      </c>
      <c r="G2194" s="4">
        <v>0.06</v>
      </c>
      <c r="H2194" t="str">
        <f t="shared" si="44"/>
        <v>STERLING - FSA  FEES</v>
      </c>
    </row>
    <row r="2195" spans="5:8" x14ac:dyDescent="0.25">
      <c r="E2195" t="str">
        <f>""</f>
        <v/>
      </c>
      <c r="F2195" t="str">
        <f>""</f>
        <v/>
      </c>
      <c r="G2195" s="4">
        <v>0.25</v>
      </c>
      <c r="H2195" t="str">
        <f t="shared" si="44"/>
        <v>STERLING - FSA  FEES</v>
      </c>
    </row>
    <row r="2196" spans="5:8" x14ac:dyDescent="0.25">
      <c r="E2196" t="str">
        <f>"FSF202112177864"</f>
        <v>FSF202112177864</v>
      </c>
      <c r="F2196" t="str">
        <f>"STERLING - FSA  FEES"</f>
        <v>STERLING - FSA  FEES</v>
      </c>
      <c r="G2196" s="4">
        <v>8.75</v>
      </c>
      <c r="H2196" t="str">
        <f t="shared" si="44"/>
        <v>STERLING - FSA  FEES</v>
      </c>
    </row>
    <row r="2197" spans="5:8" x14ac:dyDescent="0.25">
      <c r="E2197" t="str">
        <f>"HRF202112077701"</f>
        <v>HRF202112077701</v>
      </c>
      <c r="F2197" t="str">
        <f>"STERLING - HRA FEES"</f>
        <v>STERLING - HRA FEES</v>
      </c>
      <c r="G2197" s="4">
        <v>5.25</v>
      </c>
      <c r="H2197" t="str">
        <f t="shared" ref="H2197:H2228" si="45">"STERLING - HRA FEES"</f>
        <v>STERLING - HRA FEES</v>
      </c>
    </row>
    <row r="2198" spans="5:8" x14ac:dyDescent="0.25">
      <c r="E2198" t="str">
        <f>""</f>
        <v/>
      </c>
      <c r="F2198" t="str">
        <f>""</f>
        <v/>
      </c>
      <c r="G2198" s="4">
        <v>3.04</v>
      </c>
      <c r="H2198" t="str">
        <f t="shared" si="45"/>
        <v>STERLING - HRA FEES</v>
      </c>
    </row>
    <row r="2199" spans="5:8" x14ac:dyDescent="0.25">
      <c r="E2199" t="str">
        <f>""</f>
        <v/>
      </c>
      <c r="F2199" t="str">
        <f>""</f>
        <v/>
      </c>
      <c r="G2199" s="4">
        <v>15.55</v>
      </c>
      <c r="H2199" t="str">
        <f t="shared" si="45"/>
        <v>STERLING - HRA FEES</v>
      </c>
    </row>
    <row r="2200" spans="5:8" x14ac:dyDescent="0.25">
      <c r="E2200" t="str">
        <f>""</f>
        <v/>
      </c>
      <c r="F2200" t="str">
        <f>""</f>
        <v/>
      </c>
      <c r="G2200" s="4">
        <v>5.25</v>
      </c>
      <c r="H2200" t="str">
        <f t="shared" si="45"/>
        <v>STERLING - HRA FEES</v>
      </c>
    </row>
    <row r="2201" spans="5:8" x14ac:dyDescent="0.25">
      <c r="E2201" t="str">
        <f>""</f>
        <v/>
      </c>
      <c r="F2201" t="str">
        <f>""</f>
        <v/>
      </c>
      <c r="G2201" s="4">
        <v>1.75</v>
      </c>
      <c r="H2201" t="str">
        <f t="shared" si="45"/>
        <v>STERLING - HRA FEES</v>
      </c>
    </row>
    <row r="2202" spans="5:8" x14ac:dyDescent="0.25">
      <c r="E2202" t="str">
        <f>""</f>
        <v/>
      </c>
      <c r="F2202" t="str">
        <f>""</f>
        <v/>
      </c>
      <c r="G2202" s="4">
        <v>10.5</v>
      </c>
      <c r="H2202" t="str">
        <f t="shared" si="45"/>
        <v>STERLING - HRA FEES</v>
      </c>
    </row>
    <row r="2203" spans="5:8" x14ac:dyDescent="0.25">
      <c r="E2203" t="str">
        <f>""</f>
        <v/>
      </c>
      <c r="F2203" t="str">
        <f>""</f>
        <v/>
      </c>
      <c r="G2203" s="4">
        <v>36.75</v>
      </c>
      <c r="H2203" t="str">
        <f t="shared" si="45"/>
        <v>STERLING - HRA FEES</v>
      </c>
    </row>
    <row r="2204" spans="5:8" x14ac:dyDescent="0.25">
      <c r="E2204" t="str">
        <f>""</f>
        <v/>
      </c>
      <c r="F2204" t="str">
        <f>""</f>
        <v/>
      </c>
      <c r="G2204" s="4">
        <v>6.75</v>
      </c>
      <c r="H2204" t="str">
        <f t="shared" si="45"/>
        <v>STERLING - HRA FEES</v>
      </c>
    </row>
    <row r="2205" spans="5:8" x14ac:dyDescent="0.25">
      <c r="E2205" t="str">
        <f>""</f>
        <v/>
      </c>
      <c r="F2205" t="str">
        <f>""</f>
        <v/>
      </c>
      <c r="G2205" s="4">
        <v>8.75</v>
      </c>
      <c r="H2205" t="str">
        <f t="shared" si="45"/>
        <v>STERLING - HRA FEES</v>
      </c>
    </row>
    <row r="2206" spans="5:8" x14ac:dyDescent="0.25">
      <c r="E2206" t="str">
        <f>""</f>
        <v/>
      </c>
      <c r="F2206" t="str">
        <f>""</f>
        <v/>
      </c>
      <c r="G2206" s="4">
        <v>28</v>
      </c>
      <c r="H2206" t="str">
        <f t="shared" si="45"/>
        <v>STERLING - HRA FEES</v>
      </c>
    </row>
    <row r="2207" spans="5:8" x14ac:dyDescent="0.25">
      <c r="E2207" t="str">
        <f>""</f>
        <v/>
      </c>
      <c r="F2207" t="str">
        <f>""</f>
        <v/>
      </c>
      <c r="G2207" s="4">
        <v>7</v>
      </c>
      <c r="H2207" t="str">
        <f t="shared" si="45"/>
        <v>STERLING - HRA FEES</v>
      </c>
    </row>
    <row r="2208" spans="5:8" x14ac:dyDescent="0.25">
      <c r="E2208" t="str">
        <f>""</f>
        <v/>
      </c>
      <c r="F2208" t="str">
        <f>""</f>
        <v/>
      </c>
      <c r="G2208" s="4">
        <v>7</v>
      </c>
      <c r="H2208" t="str">
        <f t="shared" si="45"/>
        <v>STERLING - HRA FEES</v>
      </c>
    </row>
    <row r="2209" spans="5:8" x14ac:dyDescent="0.25">
      <c r="E2209" t="str">
        <f>""</f>
        <v/>
      </c>
      <c r="F2209" t="str">
        <f>""</f>
        <v/>
      </c>
      <c r="G2209" s="4">
        <v>7</v>
      </c>
      <c r="H2209" t="str">
        <f t="shared" si="45"/>
        <v>STERLING - HRA FEES</v>
      </c>
    </row>
    <row r="2210" spans="5:8" x14ac:dyDescent="0.25">
      <c r="E2210" t="str">
        <f>""</f>
        <v/>
      </c>
      <c r="F2210" t="str">
        <f>""</f>
        <v/>
      </c>
      <c r="G2210" s="4">
        <v>7</v>
      </c>
      <c r="H2210" t="str">
        <f t="shared" si="45"/>
        <v>STERLING - HRA FEES</v>
      </c>
    </row>
    <row r="2211" spans="5:8" x14ac:dyDescent="0.25">
      <c r="E2211" t="str">
        <f>""</f>
        <v/>
      </c>
      <c r="F2211" t="str">
        <f>""</f>
        <v/>
      </c>
      <c r="G2211" s="4">
        <v>3.5</v>
      </c>
      <c r="H2211" t="str">
        <f t="shared" si="45"/>
        <v>STERLING - HRA FEES</v>
      </c>
    </row>
    <row r="2212" spans="5:8" x14ac:dyDescent="0.25">
      <c r="E2212" t="str">
        <f>""</f>
        <v/>
      </c>
      <c r="F2212" t="str">
        <f>""</f>
        <v/>
      </c>
      <c r="G2212" s="4">
        <v>29.47</v>
      </c>
      <c r="H2212" t="str">
        <f t="shared" si="45"/>
        <v>STERLING - HRA FEES</v>
      </c>
    </row>
    <row r="2213" spans="5:8" x14ac:dyDescent="0.25">
      <c r="E2213" t="str">
        <f>""</f>
        <v/>
      </c>
      <c r="F2213" t="str">
        <f>""</f>
        <v/>
      </c>
      <c r="G2213" s="4">
        <v>15.75</v>
      </c>
      <c r="H2213" t="str">
        <f t="shared" si="45"/>
        <v>STERLING - HRA FEES</v>
      </c>
    </row>
    <row r="2214" spans="5:8" x14ac:dyDescent="0.25">
      <c r="E2214" t="str">
        <f>""</f>
        <v/>
      </c>
      <c r="F2214" t="str">
        <f>""</f>
        <v/>
      </c>
      <c r="G2214" s="4">
        <v>7</v>
      </c>
      <c r="H2214" t="str">
        <f t="shared" si="45"/>
        <v>STERLING - HRA FEES</v>
      </c>
    </row>
    <row r="2215" spans="5:8" x14ac:dyDescent="0.25">
      <c r="E2215" t="str">
        <f>""</f>
        <v/>
      </c>
      <c r="F2215" t="str">
        <f>""</f>
        <v/>
      </c>
      <c r="G2215" s="4">
        <v>7</v>
      </c>
      <c r="H2215" t="str">
        <f t="shared" si="45"/>
        <v>STERLING - HRA FEES</v>
      </c>
    </row>
    <row r="2216" spans="5:8" x14ac:dyDescent="0.25">
      <c r="E2216" t="str">
        <f>""</f>
        <v/>
      </c>
      <c r="F2216" t="str">
        <f>""</f>
        <v/>
      </c>
      <c r="G2216" s="4">
        <v>24.5</v>
      </c>
      <c r="H2216" t="str">
        <f t="shared" si="45"/>
        <v>STERLING - HRA FEES</v>
      </c>
    </row>
    <row r="2217" spans="5:8" x14ac:dyDescent="0.25">
      <c r="E2217" t="str">
        <f>""</f>
        <v/>
      </c>
      <c r="F2217" t="str">
        <f>""</f>
        <v/>
      </c>
      <c r="G2217" s="4">
        <v>12.25</v>
      </c>
      <c r="H2217" t="str">
        <f t="shared" si="45"/>
        <v>STERLING - HRA FEES</v>
      </c>
    </row>
    <row r="2218" spans="5:8" x14ac:dyDescent="0.25">
      <c r="E2218" t="str">
        <f>""</f>
        <v/>
      </c>
      <c r="F2218" t="str">
        <f>""</f>
        <v/>
      </c>
      <c r="G2218" s="4">
        <v>21</v>
      </c>
      <c r="H2218" t="str">
        <f t="shared" si="45"/>
        <v>STERLING - HRA FEES</v>
      </c>
    </row>
    <row r="2219" spans="5:8" x14ac:dyDescent="0.25">
      <c r="E2219" t="str">
        <f>""</f>
        <v/>
      </c>
      <c r="F2219" t="str">
        <f>""</f>
        <v/>
      </c>
      <c r="G2219" s="4">
        <v>24.5</v>
      </c>
      <c r="H2219" t="str">
        <f t="shared" si="45"/>
        <v>STERLING - HRA FEES</v>
      </c>
    </row>
    <row r="2220" spans="5:8" x14ac:dyDescent="0.25">
      <c r="E2220" t="str">
        <f>""</f>
        <v/>
      </c>
      <c r="F2220" t="str">
        <f>""</f>
        <v/>
      </c>
      <c r="G2220" s="4">
        <v>40.28</v>
      </c>
      <c r="H2220" t="str">
        <f t="shared" si="45"/>
        <v>STERLING - HRA FEES</v>
      </c>
    </row>
    <row r="2221" spans="5:8" x14ac:dyDescent="0.25">
      <c r="E2221" t="str">
        <f>""</f>
        <v/>
      </c>
      <c r="F2221" t="str">
        <f>""</f>
        <v/>
      </c>
      <c r="G2221" s="4">
        <v>1.75</v>
      </c>
      <c r="H2221" t="str">
        <f t="shared" si="45"/>
        <v>STERLING - HRA FEES</v>
      </c>
    </row>
    <row r="2222" spans="5:8" x14ac:dyDescent="0.25">
      <c r="E2222" t="str">
        <f>""</f>
        <v/>
      </c>
      <c r="F2222" t="str">
        <f>""</f>
        <v/>
      </c>
      <c r="G2222" s="4">
        <v>1.75</v>
      </c>
      <c r="H2222" t="str">
        <f t="shared" si="45"/>
        <v>STERLING - HRA FEES</v>
      </c>
    </row>
    <row r="2223" spans="5:8" x14ac:dyDescent="0.25">
      <c r="E2223" t="str">
        <f>""</f>
        <v/>
      </c>
      <c r="F2223" t="str">
        <f>""</f>
        <v/>
      </c>
      <c r="G2223" s="4">
        <v>1.75</v>
      </c>
      <c r="H2223" t="str">
        <f t="shared" si="45"/>
        <v>STERLING - HRA FEES</v>
      </c>
    </row>
    <row r="2224" spans="5:8" x14ac:dyDescent="0.25">
      <c r="E2224" t="str">
        <f>""</f>
        <v/>
      </c>
      <c r="F2224" t="str">
        <f>""</f>
        <v/>
      </c>
      <c r="G2224" s="4">
        <v>1.75</v>
      </c>
      <c r="H2224" t="str">
        <f t="shared" si="45"/>
        <v>STERLING - HRA FEES</v>
      </c>
    </row>
    <row r="2225" spans="5:8" x14ac:dyDescent="0.25">
      <c r="E2225" t="str">
        <f>""</f>
        <v/>
      </c>
      <c r="F2225" t="str">
        <f>""</f>
        <v/>
      </c>
      <c r="G2225" s="4">
        <v>166.28</v>
      </c>
      <c r="H2225" t="str">
        <f t="shared" si="45"/>
        <v>STERLING - HRA FEES</v>
      </c>
    </row>
    <row r="2226" spans="5:8" x14ac:dyDescent="0.25">
      <c r="E2226" t="str">
        <f>""</f>
        <v/>
      </c>
      <c r="F2226" t="str">
        <f>""</f>
        <v/>
      </c>
      <c r="G2226" s="4">
        <v>6.9</v>
      </c>
      <c r="H2226" t="str">
        <f t="shared" si="45"/>
        <v>STERLING - HRA FEES</v>
      </c>
    </row>
    <row r="2227" spans="5:8" x14ac:dyDescent="0.25">
      <c r="E2227" t="str">
        <f>""</f>
        <v/>
      </c>
      <c r="F2227" t="str">
        <f>""</f>
        <v/>
      </c>
      <c r="G2227" s="4">
        <v>141.83000000000001</v>
      </c>
      <c r="H2227" t="str">
        <f t="shared" si="45"/>
        <v>STERLING - HRA FEES</v>
      </c>
    </row>
    <row r="2228" spans="5:8" x14ac:dyDescent="0.25">
      <c r="E2228" t="str">
        <f>""</f>
        <v/>
      </c>
      <c r="F2228" t="str">
        <f>""</f>
        <v/>
      </c>
      <c r="G2228" s="4">
        <v>31.5</v>
      </c>
      <c r="H2228" t="str">
        <f t="shared" si="45"/>
        <v>STERLING - HRA FEES</v>
      </c>
    </row>
    <row r="2229" spans="5:8" x14ac:dyDescent="0.25">
      <c r="E2229" t="str">
        <f>""</f>
        <v/>
      </c>
      <c r="F2229" t="str">
        <f>""</f>
        <v/>
      </c>
      <c r="G2229" s="4">
        <v>1.75</v>
      </c>
      <c r="H2229" t="str">
        <f t="shared" ref="H2229:H2260" si="46">"STERLING - HRA FEES"</f>
        <v>STERLING - HRA FEES</v>
      </c>
    </row>
    <row r="2230" spans="5:8" x14ac:dyDescent="0.25">
      <c r="E2230" t="str">
        <f>""</f>
        <v/>
      </c>
      <c r="F2230" t="str">
        <f>""</f>
        <v/>
      </c>
      <c r="G2230" s="4">
        <v>5.25</v>
      </c>
      <c r="H2230" t="str">
        <f t="shared" si="46"/>
        <v>STERLING - HRA FEES</v>
      </c>
    </row>
    <row r="2231" spans="5:8" x14ac:dyDescent="0.25">
      <c r="E2231" t="str">
        <f>""</f>
        <v/>
      </c>
      <c r="F2231" t="str">
        <f>""</f>
        <v/>
      </c>
      <c r="G2231" s="4">
        <v>0.45</v>
      </c>
      <c r="H2231" t="str">
        <f t="shared" si="46"/>
        <v>STERLING - HRA FEES</v>
      </c>
    </row>
    <row r="2232" spans="5:8" x14ac:dyDescent="0.25">
      <c r="E2232" t="str">
        <f>""</f>
        <v/>
      </c>
      <c r="F2232" t="str">
        <f>""</f>
        <v/>
      </c>
      <c r="G2232" s="4">
        <v>5.25</v>
      </c>
      <c r="H2232" t="str">
        <f t="shared" si="46"/>
        <v>STERLING - HRA FEES</v>
      </c>
    </row>
    <row r="2233" spans="5:8" x14ac:dyDescent="0.25">
      <c r="E2233" t="str">
        <f>""</f>
        <v/>
      </c>
      <c r="F2233" t="str">
        <f>""</f>
        <v/>
      </c>
      <c r="G2233" s="4">
        <v>1.75</v>
      </c>
      <c r="H2233" t="str">
        <f t="shared" si="46"/>
        <v>STERLING - HRA FEES</v>
      </c>
    </row>
    <row r="2234" spans="5:8" x14ac:dyDescent="0.25">
      <c r="E2234" t="str">
        <f>""</f>
        <v/>
      </c>
      <c r="F2234" t="str">
        <f>""</f>
        <v/>
      </c>
      <c r="G2234" s="4">
        <v>7</v>
      </c>
      <c r="H2234" t="str">
        <f t="shared" si="46"/>
        <v>STERLING - HRA FEES</v>
      </c>
    </row>
    <row r="2235" spans="5:8" x14ac:dyDescent="0.25">
      <c r="E2235" t="str">
        <f>""</f>
        <v/>
      </c>
      <c r="F2235" t="str">
        <f>""</f>
        <v/>
      </c>
      <c r="G2235" s="4">
        <v>3.5</v>
      </c>
      <c r="H2235" t="str">
        <f t="shared" si="46"/>
        <v>STERLING - HRA FEES</v>
      </c>
    </row>
    <row r="2236" spans="5:8" x14ac:dyDescent="0.25">
      <c r="E2236" t="str">
        <f>""</f>
        <v/>
      </c>
      <c r="F2236" t="str">
        <f>""</f>
        <v/>
      </c>
      <c r="G2236" s="4">
        <v>1.95</v>
      </c>
      <c r="H2236" t="str">
        <f t="shared" si="46"/>
        <v>STERLING - HRA FEES</v>
      </c>
    </row>
    <row r="2237" spans="5:8" x14ac:dyDescent="0.25">
      <c r="E2237" t="str">
        <f>""</f>
        <v/>
      </c>
      <c r="F2237" t="str">
        <f>""</f>
        <v/>
      </c>
      <c r="G2237" s="4">
        <v>22.42</v>
      </c>
      <c r="H2237" t="str">
        <f t="shared" si="46"/>
        <v>STERLING - HRA FEES</v>
      </c>
    </row>
    <row r="2238" spans="5:8" x14ac:dyDescent="0.25">
      <c r="E2238" t="str">
        <f>""</f>
        <v/>
      </c>
      <c r="F2238" t="str">
        <f>""</f>
        <v/>
      </c>
      <c r="G2238" s="4">
        <v>24.17</v>
      </c>
      <c r="H2238" t="str">
        <f t="shared" si="46"/>
        <v>STERLING - HRA FEES</v>
      </c>
    </row>
    <row r="2239" spans="5:8" x14ac:dyDescent="0.25">
      <c r="E2239" t="str">
        <f>""</f>
        <v/>
      </c>
      <c r="F2239" t="str">
        <f>""</f>
        <v/>
      </c>
      <c r="G2239" s="4">
        <v>24.17</v>
      </c>
      <c r="H2239" t="str">
        <f t="shared" si="46"/>
        <v>STERLING - HRA FEES</v>
      </c>
    </row>
    <row r="2240" spans="5:8" x14ac:dyDescent="0.25">
      <c r="E2240" t="str">
        <f>""</f>
        <v/>
      </c>
      <c r="F2240" t="str">
        <f>""</f>
        <v/>
      </c>
      <c r="G2240" s="4">
        <v>25.92</v>
      </c>
      <c r="H2240" t="str">
        <f t="shared" si="46"/>
        <v>STERLING - HRA FEES</v>
      </c>
    </row>
    <row r="2241" spans="5:8" x14ac:dyDescent="0.25">
      <c r="E2241" t="str">
        <f>""</f>
        <v/>
      </c>
      <c r="F2241" t="str">
        <f>""</f>
        <v/>
      </c>
      <c r="G2241" s="4">
        <v>3.05</v>
      </c>
      <c r="H2241" t="str">
        <f t="shared" si="46"/>
        <v>STERLING - HRA FEES</v>
      </c>
    </row>
    <row r="2242" spans="5:8" x14ac:dyDescent="0.25">
      <c r="E2242" t="str">
        <f>""</f>
        <v/>
      </c>
      <c r="F2242" t="str">
        <f>""</f>
        <v/>
      </c>
      <c r="G2242" s="4">
        <v>7.0000000000000007E-2</v>
      </c>
      <c r="H2242" t="str">
        <f t="shared" si="46"/>
        <v>STERLING - HRA FEES</v>
      </c>
    </row>
    <row r="2243" spans="5:8" x14ac:dyDescent="0.25">
      <c r="E2243" t="str">
        <f>""</f>
        <v/>
      </c>
      <c r="F2243" t="str">
        <f>""</f>
        <v/>
      </c>
      <c r="G2243" s="4">
        <v>0.21</v>
      </c>
      <c r="H2243" t="str">
        <f t="shared" si="46"/>
        <v>STERLING - HRA FEES</v>
      </c>
    </row>
    <row r="2244" spans="5:8" x14ac:dyDescent="0.25">
      <c r="E2244" t="str">
        <f>""</f>
        <v/>
      </c>
      <c r="F2244" t="str">
        <f>""</f>
        <v/>
      </c>
      <c r="G2244" s="4">
        <v>0.25</v>
      </c>
      <c r="H2244" t="str">
        <f t="shared" si="46"/>
        <v>STERLING - HRA FEES</v>
      </c>
    </row>
    <row r="2245" spans="5:8" x14ac:dyDescent="0.25">
      <c r="E2245" t="str">
        <f>""</f>
        <v/>
      </c>
      <c r="F2245" t="str">
        <f>""</f>
        <v/>
      </c>
      <c r="G2245" s="4">
        <v>1.74</v>
      </c>
      <c r="H2245" t="str">
        <f t="shared" si="46"/>
        <v>STERLING - HRA FEES</v>
      </c>
    </row>
    <row r="2246" spans="5:8" x14ac:dyDescent="0.25">
      <c r="E2246" t="str">
        <f>"HRF202112077702"</f>
        <v>HRF202112077702</v>
      </c>
      <c r="F2246" t="str">
        <f>"STERLING - HRA FEES"</f>
        <v>STERLING - HRA FEES</v>
      </c>
      <c r="G2246" s="4">
        <v>26.25</v>
      </c>
      <c r="H2246" t="str">
        <f t="shared" si="46"/>
        <v>STERLING - HRA FEES</v>
      </c>
    </row>
    <row r="2247" spans="5:8" x14ac:dyDescent="0.25">
      <c r="E2247" t="str">
        <f>"HRF202112177863"</f>
        <v>HRF202112177863</v>
      </c>
      <c r="F2247" t="str">
        <f>"STERLING - HRA FEES"</f>
        <v>STERLING - HRA FEES</v>
      </c>
      <c r="G2247" s="4">
        <v>5.25</v>
      </c>
      <c r="H2247" t="str">
        <f t="shared" si="46"/>
        <v>STERLING - HRA FEES</v>
      </c>
    </row>
    <row r="2248" spans="5:8" x14ac:dyDescent="0.25">
      <c r="E2248" t="str">
        <f>""</f>
        <v/>
      </c>
      <c r="F2248" t="str">
        <f>""</f>
        <v/>
      </c>
      <c r="G2248" s="4">
        <v>3.04</v>
      </c>
      <c r="H2248" t="str">
        <f t="shared" si="46"/>
        <v>STERLING - HRA FEES</v>
      </c>
    </row>
    <row r="2249" spans="5:8" x14ac:dyDescent="0.25">
      <c r="E2249" t="str">
        <f>""</f>
        <v/>
      </c>
      <c r="F2249" t="str">
        <f>""</f>
        <v/>
      </c>
      <c r="G2249" s="4">
        <v>15.55</v>
      </c>
      <c r="H2249" t="str">
        <f t="shared" si="46"/>
        <v>STERLING - HRA FEES</v>
      </c>
    </row>
    <row r="2250" spans="5:8" x14ac:dyDescent="0.25">
      <c r="E2250" t="str">
        <f>""</f>
        <v/>
      </c>
      <c r="F2250" t="str">
        <f>""</f>
        <v/>
      </c>
      <c r="G2250" s="4">
        <v>5.25</v>
      </c>
      <c r="H2250" t="str">
        <f t="shared" si="46"/>
        <v>STERLING - HRA FEES</v>
      </c>
    </row>
    <row r="2251" spans="5:8" x14ac:dyDescent="0.25">
      <c r="E2251" t="str">
        <f>""</f>
        <v/>
      </c>
      <c r="F2251" t="str">
        <f>""</f>
        <v/>
      </c>
      <c r="G2251" s="4">
        <v>1.75</v>
      </c>
      <c r="H2251" t="str">
        <f t="shared" si="46"/>
        <v>STERLING - HRA FEES</v>
      </c>
    </row>
    <row r="2252" spans="5:8" x14ac:dyDescent="0.25">
      <c r="E2252" t="str">
        <f>""</f>
        <v/>
      </c>
      <c r="F2252" t="str">
        <f>""</f>
        <v/>
      </c>
      <c r="G2252" s="4">
        <v>10.5</v>
      </c>
      <c r="H2252" t="str">
        <f t="shared" si="46"/>
        <v>STERLING - HRA FEES</v>
      </c>
    </row>
    <row r="2253" spans="5:8" x14ac:dyDescent="0.25">
      <c r="E2253" t="str">
        <f>""</f>
        <v/>
      </c>
      <c r="F2253" t="str">
        <f>""</f>
        <v/>
      </c>
      <c r="G2253" s="4">
        <v>36.75</v>
      </c>
      <c r="H2253" t="str">
        <f t="shared" si="46"/>
        <v>STERLING - HRA FEES</v>
      </c>
    </row>
    <row r="2254" spans="5:8" x14ac:dyDescent="0.25">
      <c r="E2254" t="str">
        <f>""</f>
        <v/>
      </c>
      <c r="F2254" t="str">
        <f>""</f>
        <v/>
      </c>
      <c r="G2254" s="4">
        <v>6.75</v>
      </c>
      <c r="H2254" t="str">
        <f t="shared" si="46"/>
        <v>STERLING - HRA FEES</v>
      </c>
    </row>
    <row r="2255" spans="5:8" x14ac:dyDescent="0.25">
      <c r="E2255" t="str">
        <f>""</f>
        <v/>
      </c>
      <c r="F2255" t="str">
        <f>""</f>
        <v/>
      </c>
      <c r="G2255" s="4">
        <v>8.75</v>
      </c>
      <c r="H2255" t="str">
        <f t="shared" si="46"/>
        <v>STERLING - HRA FEES</v>
      </c>
    </row>
    <row r="2256" spans="5:8" x14ac:dyDescent="0.25">
      <c r="E2256" t="str">
        <f>""</f>
        <v/>
      </c>
      <c r="F2256" t="str">
        <f>""</f>
        <v/>
      </c>
      <c r="G2256" s="4">
        <v>28</v>
      </c>
      <c r="H2256" t="str">
        <f t="shared" si="46"/>
        <v>STERLING - HRA FEES</v>
      </c>
    </row>
    <row r="2257" spans="5:8" x14ac:dyDescent="0.25">
      <c r="E2257" t="str">
        <f>""</f>
        <v/>
      </c>
      <c r="F2257" t="str">
        <f>""</f>
        <v/>
      </c>
      <c r="G2257" s="4">
        <v>7</v>
      </c>
      <c r="H2257" t="str">
        <f t="shared" si="46"/>
        <v>STERLING - HRA FEES</v>
      </c>
    </row>
    <row r="2258" spans="5:8" x14ac:dyDescent="0.25">
      <c r="E2258" t="str">
        <f>""</f>
        <v/>
      </c>
      <c r="F2258" t="str">
        <f>""</f>
        <v/>
      </c>
      <c r="G2258" s="4">
        <v>7</v>
      </c>
      <c r="H2258" t="str">
        <f t="shared" si="46"/>
        <v>STERLING - HRA FEES</v>
      </c>
    </row>
    <row r="2259" spans="5:8" x14ac:dyDescent="0.25">
      <c r="E2259" t="str">
        <f>""</f>
        <v/>
      </c>
      <c r="F2259" t="str">
        <f>""</f>
        <v/>
      </c>
      <c r="G2259" s="4">
        <v>7</v>
      </c>
      <c r="H2259" t="str">
        <f t="shared" si="46"/>
        <v>STERLING - HRA FEES</v>
      </c>
    </row>
    <row r="2260" spans="5:8" x14ac:dyDescent="0.25">
      <c r="E2260" t="str">
        <f>""</f>
        <v/>
      </c>
      <c r="F2260" t="str">
        <f>""</f>
        <v/>
      </c>
      <c r="G2260" s="4">
        <v>7</v>
      </c>
      <c r="H2260" t="str">
        <f t="shared" si="46"/>
        <v>STERLING - HRA FEES</v>
      </c>
    </row>
    <row r="2261" spans="5:8" x14ac:dyDescent="0.25">
      <c r="E2261" t="str">
        <f>""</f>
        <v/>
      </c>
      <c r="F2261" t="str">
        <f>""</f>
        <v/>
      </c>
      <c r="G2261" s="4">
        <v>3.5</v>
      </c>
      <c r="H2261" t="str">
        <f t="shared" ref="H2261:H2296" si="47">"STERLING - HRA FEES"</f>
        <v>STERLING - HRA FEES</v>
      </c>
    </row>
    <row r="2262" spans="5:8" x14ac:dyDescent="0.25">
      <c r="E2262" t="str">
        <f>""</f>
        <v/>
      </c>
      <c r="F2262" t="str">
        <f>""</f>
        <v/>
      </c>
      <c r="G2262" s="4">
        <v>29.47</v>
      </c>
      <c r="H2262" t="str">
        <f t="shared" si="47"/>
        <v>STERLING - HRA FEES</v>
      </c>
    </row>
    <row r="2263" spans="5:8" x14ac:dyDescent="0.25">
      <c r="E2263" t="str">
        <f>""</f>
        <v/>
      </c>
      <c r="F2263" t="str">
        <f>""</f>
        <v/>
      </c>
      <c r="G2263" s="4">
        <v>15.75</v>
      </c>
      <c r="H2263" t="str">
        <f t="shared" si="47"/>
        <v>STERLING - HRA FEES</v>
      </c>
    </row>
    <row r="2264" spans="5:8" x14ac:dyDescent="0.25">
      <c r="E2264" t="str">
        <f>""</f>
        <v/>
      </c>
      <c r="F2264" t="str">
        <f>""</f>
        <v/>
      </c>
      <c r="G2264" s="4">
        <v>7</v>
      </c>
      <c r="H2264" t="str">
        <f t="shared" si="47"/>
        <v>STERLING - HRA FEES</v>
      </c>
    </row>
    <row r="2265" spans="5:8" x14ac:dyDescent="0.25">
      <c r="E2265" t="str">
        <f>""</f>
        <v/>
      </c>
      <c r="F2265" t="str">
        <f>""</f>
        <v/>
      </c>
      <c r="G2265" s="4">
        <v>7</v>
      </c>
      <c r="H2265" t="str">
        <f t="shared" si="47"/>
        <v>STERLING - HRA FEES</v>
      </c>
    </row>
    <row r="2266" spans="5:8" x14ac:dyDescent="0.25">
      <c r="E2266" t="str">
        <f>""</f>
        <v/>
      </c>
      <c r="F2266" t="str">
        <f>""</f>
        <v/>
      </c>
      <c r="G2266" s="4">
        <v>24.5</v>
      </c>
      <c r="H2266" t="str">
        <f t="shared" si="47"/>
        <v>STERLING - HRA FEES</v>
      </c>
    </row>
    <row r="2267" spans="5:8" x14ac:dyDescent="0.25">
      <c r="E2267" t="str">
        <f>""</f>
        <v/>
      </c>
      <c r="F2267" t="str">
        <f>""</f>
        <v/>
      </c>
      <c r="G2267" s="4">
        <v>12.25</v>
      </c>
      <c r="H2267" t="str">
        <f t="shared" si="47"/>
        <v>STERLING - HRA FEES</v>
      </c>
    </row>
    <row r="2268" spans="5:8" x14ac:dyDescent="0.25">
      <c r="E2268" t="str">
        <f>""</f>
        <v/>
      </c>
      <c r="F2268" t="str">
        <f>""</f>
        <v/>
      </c>
      <c r="G2268" s="4">
        <v>21</v>
      </c>
      <c r="H2268" t="str">
        <f t="shared" si="47"/>
        <v>STERLING - HRA FEES</v>
      </c>
    </row>
    <row r="2269" spans="5:8" x14ac:dyDescent="0.25">
      <c r="E2269" t="str">
        <f>""</f>
        <v/>
      </c>
      <c r="F2269" t="str">
        <f>""</f>
        <v/>
      </c>
      <c r="G2269" s="4">
        <v>24.5</v>
      </c>
      <c r="H2269" t="str">
        <f t="shared" si="47"/>
        <v>STERLING - HRA FEES</v>
      </c>
    </row>
    <row r="2270" spans="5:8" x14ac:dyDescent="0.25">
      <c r="E2270" t="str">
        <f>""</f>
        <v/>
      </c>
      <c r="F2270" t="str">
        <f>""</f>
        <v/>
      </c>
      <c r="G2270" s="4">
        <v>40.28</v>
      </c>
      <c r="H2270" t="str">
        <f t="shared" si="47"/>
        <v>STERLING - HRA FEES</v>
      </c>
    </row>
    <row r="2271" spans="5:8" x14ac:dyDescent="0.25">
      <c r="E2271" t="str">
        <f>""</f>
        <v/>
      </c>
      <c r="F2271" t="str">
        <f>""</f>
        <v/>
      </c>
      <c r="G2271" s="4">
        <v>1.75</v>
      </c>
      <c r="H2271" t="str">
        <f t="shared" si="47"/>
        <v>STERLING - HRA FEES</v>
      </c>
    </row>
    <row r="2272" spans="5:8" x14ac:dyDescent="0.25">
      <c r="E2272" t="str">
        <f>""</f>
        <v/>
      </c>
      <c r="F2272" t="str">
        <f>""</f>
        <v/>
      </c>
      <c r="G2272" s="4">
        <v>1.75</v>
      </c>
      <c r="H2272" t="str">
        <f t="shared" si="47"/>
        <v>STERLING - HRA FEES</v>
      </c>
    </row>
    <row r="2273" spans="5:8" x14ac:dyDescent="0.25">
      <c r="E2273" t="str">
        <f>""</f>
        <v/>
      </c>
      <c r="F2273" t="str">
        <f>""</f>
        <v/>
      </c>
      <c r="G2273" s="4">
        <v>1.75</v>
      </c>
      <c r="H2273" t="str">
        <f t="shared" si="47"/>
        <v>STERLING - HRA FEES</v>
      </c>
    </row>
    <row r="2274" spans="5:8" x14ac:dyDescent="0.25">
      <c r="E2274" t="str">
        <f>""</f>
        <v/>
      </c>
      <c r="F2274" t="str">
        <f>""</f>
        <v/>
      </c>
      <c r="G2274" s="4">
        <v>1.75</v>
      </c>
      <c r="H2274" t="str">
        <f t="shared" si="47"/>
        <v>STERLING - HRA FEES</v>
      </c>
    </row>
    <row r="2275" spans="5:8" x14ac:dyDescent="0.25">
      <c r="E2275" t="str">
        <f>""</f>
        <v/>
      </c>
      <c r="F2275" t="str">
        <f>""</f>
        <v/>
      </c>
      <c r="G2275" s="4">
        <v>166.28</v>
      </c>
      <c r="H2275" t="str">
        <f t="shared" si="47"/>
        <v>STERLING - HRA FEES</v>
      </c>
    </row>
    <row r="2276" spans="5:8" x14ac:dyDescent="0.25">
      <c r="E2276" t="str">
        <f>""</f>
        <v/>
      </c>
      <c r="F2276" t="str">
        <f>""</f>
        <v/>
      </c>
      <c r="G2276" s="4">
        <v>6.9</v>
      </c>
      <c r="H2276" t="str">
        <f t="shared" si="47"/>
        <v>STERLING - HRA FEES</v>
      </c>
    </row>
    <row r="2277" spans="5:8" x14ac:dyDescent="0.25">
      <c r="E2277" t="str">
        <f>""</f>
        <v/>
      </c>
      <c r="F2277" t="str">
        <f>""</f>
        <v/>
      </c>
      <c r="G2277" s="4">
        <v>141.83000000000001</v>
      </c>
      <c r="H2277" t="str">
        <f t="shared" si="47"/>
        <v>STERLING - HRA FEES</v>
      </c>
    </row>
    <row r="2278" spans="5:8" x14ac:dyDescent="0.25">
      <c r="E2278" t="str">
        <f>""</f>
        <v/>
      </c>
      <c r="F2278" t="str">
        <f>""</f>
        <v/>
      </c>
      <c r="G2278" s="4">
        <v>31.5</v>
      </c>
      <c r="H2278" t="str">
        <f t="shared" si="47"/>
        <v>STERLING - HRA FEES</v>
      </c>
    </row>
    <row r="2279" spans="5:8" x14ac:dyDescent="0.25">
      <c r="E2279" t="str">
        <f>""</f>
        <v/>
      </c>
      <c r="F2279" t="str">
        <f>""</f>
        <v/>
      </c>
      <c r="G2279" s="4">
        <v>1.75</v>
      </c>
      <c r="H2279" t="str">
        <f t="shared" si="47"/>
        <v>STERLING - HRA FEES</v>
      </c>
    </row>
    <row r="2280" spans="5:8" x14ac:dyDescent="0.25">
      <c r="E2280" t="str">
        <f>""</f>
        <v/>
      </c>
      <c r="F2280" t="str">
        <f>""</f>
        <v/>
      </c>
      <c r="G2280" s="4">
        <v>5.25</v>
      </c>
      <c r="H2280" t="str">
        <f t="shared" si="47"/>
        <v>STERLING - HRA FEES</v>
      </c>
    </row>
    <row r="2281" spans="5:8" x14ac:dyDescent="0.25">
      <c r="E2281" t="str">
        <f>""</f>
        <v/>
      </c>
      <c r="F2281" t="str">
        <f>""</f>
        <v/>
      </c>
      <c r="G2281" s="4">
        <v>0.45</v>
      </c>
      <c r="H2281" t="str">
        <f t="shared" si="47"/>
        <v>STERLING - HRA FEES</v>
      </c>
    </row>
    <row r="2282" spans="5:8" x14ac:dyDescent="0.25">
      <c r="E2282" t="str">
        <f>""</f>
        <v/>
      </c>
      <c r="F2282" t="str">
        <f>""</f>
        <v/>
      </c>
      <c r="G2282" s="4">
        <v>5.25</v>
      </c>
      <c r="H2282" t="str">
        <f t="shared" si="47"/>
        <v>STERLING - HRA FEES</v>
      </c>
    </row>
    <row r="2283" spans="5:8" x14ac:dyDescent="0.25">
      <c r="E2283" t="str">
        <f>""</f>
        <v/>
      </c>
      <c r="F2283" t="str">
        <f>""</f>
        <v/>
      </c>
      <c r="G2283" s="4">
        <v>1.75</v>
      </c>
      <c r="H2283" t="str">
        <f t="shared" si="47"/>
        <v>STERLING - HRA FEES</v>
      </c>
    </row>
    <row r="2284" spans="5:8" x14ac:dyDescent="0.25">
      <c r="E2284" t="str">
        <f>""</f>
        <v/>
      </c>
      <c r="F2284" t="str">
        <f>""</f>
        <v/>
      </c>
      <c r="G2284" s="4">
        <v>7</v>
      </c>
      <c r="H2284" t="str">
        <f t="shared" si="47"/>
        <v>STERLING - HRA FEES</v>
      </c>
    </row>
    <row r="2285" spans="5:8" x14ac:dyDescent="0.25">
      <c r="E2285" t="str">
        <f>""</f>
        <v/>
      </c>
      <c r="F2285" t="str">
        <f>""</f>
        <v/>
      </c>
      <c r="G2285" s="4">
        <v>3.5</v>
      </c>
      <c r="H2285" t="str">
        <f t="shared" si="47"/>
        <v>STERLING - HRA FEES</v>
      </c>
    </row>
    <row r="2286" spans="5:8" x14ac:dyDescent="0.25">
      <c r="E2286" t="str">
        <f>""</f>
        <v/>
      </c>
      <c r="F2286" t="str">
        <f>""</f>
        <v/>
      </c>
      <c r="G2286" s="4">
        <v>1.95</v>
      </c>
      <c r="H2286" t="str">
        <f t="shared" si="47"/>
        <v>STERLING - HRA FEES</v>
      </c>
    </row>
    <row r="2287" spans="5:8" x14ac:dyDescent="0.25">
      <c r="E2287" t="str">
        <f>""</f>
        <v/>
      </c>
      <c r="F2287" t="str">
        <f>""</f>
        <v/>
      </c>
      <c r="G2287" s="4">
        <v>22.42</v>
      </c>
      <c r="H2287" t="str">
        <f t="shared" si="47"/>
        <v>STERLING - HRA FEES</v>
      </c>
    </row>
    <row r="2288" spans="5:8" x14ac:dyDescent="0.25">
      <c r="E2288" t="str">
        <f>""</f>
        <v/>
      </c>
      <c r="F2288" t="str">
        <f>""</f>
        <v/>
      </c>
      <c r="G2288" s="4">
        <v>24.17</v>
      </c>
      <c r="H2288" t="str">
        <f t="shared" si="47"/>
        <v>STERLING - HRA FEES</v>
      </c>
    </row>
    <row r="2289" spans="1:8" x14ac:dyDescent="0.25">
      <c r="E2289" t="str">
        <f>""</f>
        <v/>
      </c>
      <c r="F2289" t="str">
        <f>""</f>
        <v/>
      </c>
      <c r="G2289" s="4">
        <v>24.17</v>
      </c>
      <c r="H2289" t="str">
        <f t="shared" si="47"/>
        <v>STERLING - HRA FEES</v>
      </c>
    </row>
    <row r="2290" spans="1:8" x14ac:dyDescent="0.25">
      <c r="E2290" t="str">
        <f>""</f>
        <v/>
      </c>
      <c r="F2290" t="str">
        <f>""</f>
        <v/>
      </c>
      <c r="G2290" s="4">
        <v>25.92</v>
      </c>
      <c r="H2290" t="str">
        <f t="shared" si="47"/>
        <v>STERLING - HRA FEES</v>
      </c>
    </row>
    <row r="2291" spans="1:8" x14ac:dyDescent="0.25">
      <c r="E2291" t="str">
        <f>""</f>
        <v/>
      </c>
      <c r="F2291" t="str">
        <f>""</f>
        <v/>
      </c>
      <c r="G2291" s="4">
        <v>3.05</v>
      </c>
      <c r="H2291" t="str">
        <f t="shared" si="47"/>
        <v>STERLING - HRA FEES</v>
      </c>
    </row>
    <row r="2292" spans="1:8" x14ac:dyDescent="0.25">
      <c r="E2292" t="str">
        <f>""</f>
        <v/>
      </c>
      <c r="F2292" t="str">
        <f>""</f>
        <v/>
      </c>
      <c r="G2292" s="4">
        <v>7.0000000000000007E-2</v>
      </c>
      <c r="H2292" t="str">
        <f t="shared" si="47"/>
        <v>STERLING - HRA FEES</v>
      </c>
    </row>
    <row r="2293" spans="1:8" x14ac:dyDescent="0.25">
      <c r="E2293" t="str">
        <f>""</f>
        <v/>
      </c>
      <c r="F2293" t="str">
        <f>""</f>
        <v/>
      </c>
      <c r="G2293" s="4">
        <v>0.21</v>
      </c>
      <c r="H2293" t="str">
        <f t="shared" si="47"/>
        <v>STERLING - HRA FEES</v>
      </c>
    </row>
    <row r="2294" spans="1:8" x14ac:dyDescent="0.25">
      <c r="E2294" t="str">
        <f>""</f>
        <v/>
      </c>
      <c r="F2294" t="str">
        <f>""</f>
        <v/>
      </c>
      <c r="G2294" s="4">
        <v>0.25</v>
      </c>
      <c r="H2294" t="str">
        <f t="shared" si="47"/>
        <v>STERLING - HRA FEES</v>
      </c>
    </row>
    <row r="2295" spans="1:8" x14ac:dyDescent="0.25">
      <c r="E2295" t="str">
        <f>""</f>
        <v/>
      </c>
      <c r="F2295" t="str">
        <f>""</f>
        <v/>
      </c>
      <c r="G2295" s="4">
        <v>1.74</v>
      </c>
      <c r="H2295" t="str">
        <f t="shared" si="47"/>
        <v>STERLING - HRA FEES</v>
      </c>
    </row>
    <row r="2296" spans="1:8" x14ac:dyDescent="0.25">
      <c r="E2296" t="str">
        <f>"HRF202112177864"</f>
        <v>HRF202112177864</v>
      </c>
      <c r="F2296" t="str">
        <f>"STERLING - HRA FEES"</f>
        <v>STERLING - HRA FEES</v>
      </c>
      <c r="G2296" s="4">
        <v>26.25</v>
      </c>
      <c r="H2296" t="str">
        <f t="shared" si="47"/>
        <v>STERLING - HRA FEES</v>
      </c>
    </row>
    <row r="2297" spans="1:8" x14ac:dyDescent="0.25">
      <c r="A2297" t="s">
        <v>427</v>
      </c>
      <c r="B2297">
        <v>48561</v>
      </c>
      <c r="C2297" s="4">
        <v>416103.64</v>
      </c>
      <c r="D2297" s="1">
        <v>44557</v>
      </c>
      <c r="E2297" t="str">
        <f>"202112277969"</f>
        <v>202112277969</v>
      </c>
      <c r="F2297" t="str">
        <f>"ADJ - DECEMBER 2021"</f>
        <v>ADJ - DECEMBER 2021</v>
      </c>
      <c r="G2297" s="4">
        <v>-403.6</v>
      </c>
      <c r="H2297" t="str">
        <f>"ADJ - DECEMBER 2021"</f>
        <v>ADJ - DECEMBER 2021</v>
      </c>
    </row>
    <row r="2298" spans="1:8" x14ac:dyDescent="0.25">
      <c r="E2298" t="str">
        <f>"202112277964"</f>
        <v>202112277964</v>
      </c>
      <c r="F2298" t="str">
        <f>"RETIREE INS - DECEMBER 2021"</f>
        <v>RETIREE INS - DECEMBER 2021</v>
      </c>
      <c r="G2298" s="4">
        <v>19275.32</v>
      </c>
      <c r="H2298" t="str">
        <f>"RETIREE INS - DECEMBER 2021"</f>
        <v>RETIREE INS - DECEMBER 2021</v>
      </c>
    </row>
    <row r="2299" spans="1:8" x14ac:dyDescent="0.25">
      <c r="E2299" t="str">
        <f>"2EC202112077701"</f>
        <v>2EC202112077701</v>
      </c>
      <c r="F2299" t="str">
        <f>"BCBS PAYABLE"</f>
        <v>BCBS PAYABLE</v>
      </c>
      <c r="G2299" s="4">
        <v>374.3</v>
      </c>
      <c r="H2299" t="str">
        <f t="shared" ref="H2299:H2362" si="48">"BCBS PAYABLE"</f>
        <v>BCBS PAYABLE</v>
      </c>
    </row>
    <row r="2300" spans="1:8" x14ac:dyDescent="0.25">
      <c r="E2300" t="str">
        <f>""</f>
        <v/>
      </c>
      <c r="F2300" t="str">
        <f>""</f>
        <v/>
      </c>
      <c r="G2300" s="4">
        <v>748.6</v>
      </c>
      <c r="H2300" t="str">
        <f t="shared" si="48"/>
        <v>BCBS PAYABLE</v>
      </c>
    </row>
    <row r="2301" spans="1:8" x14ac:dyDescent="0.25">
      <c r="E2301" t="str">
        <f>""</f>
        <v/>
      </c>
      <c r="F2301" t="str">
        <f>""</f>
        <v/>
      </c>
      <c r="G2301" s="4">
        <v>1497.2</v>
      </c>
      <c r="H2301" t="str">
        <f t="shared" si="48"/>
        <v>BCBS PAYABLE</v>
      </c>
    </row>
    <row r="2302" spans="1:8" x14ac:dyDescent="0.25">
      <c r="E2302" t="str">
        <f>""</f>
        <v/>
      </c>
      <c r="F2302" t="str">
        <f>""</f>
        <v/>
      </c>
      <c r="G2302" s="4">
        <v>1497.2</v>
      </c>
      <c r="H2302" t="str">
        <f t="shared" si="48"/>
        <v>BCBS PAYABLE</v>
      </c>
    </row>
    <row r="2303" spans="1:8" x14ac:dyDescent="0.25">
      <c r="E2303" t="str">
        <f>""</f>
        <v/>
      </c>
      <c r="F2303" t="str">
        <f>""</f>
        <v/>
      </c>
      <c r="G2303" s="4">
        <v>321.16000000000003</v>
      </c>
      <c r="H2303" t="str">
        <f t="shared" si="48"/>
        <v>BCBS PAYABLE</v>
      </c>
    </row>
    <row r="2304" spans="1:8" x14ac:dyDescent="0.25">
      <c r="E2304" t="str">
        <f>""</f>
        <v/>
      </c>
      <c r="F2304" t="str">
        <f>""</f>
        <v/>
      </c>
      <c r="G2304" s="4">
        <v>374.3</v>
      </c>
      <c r="H2304" t="str">
        <f t="shared" si="48"/>
        <v>BCBS PAYABLE</v>
      </c>
    </row>
    <row r="2305" spans="5:8" x14ac:dyDescent="0.25">
      <c r="E2305" t="str">
        <f>""</f>
        <v/>
      </c>
      <c r="F2305" t="str">
        <f>""</f>
        <v/>
      </c>
      <c r="G2305" s="4">
        <v>1497.2</v>
      </c>
      <c r="H2305" t="str">
        <f t="shared" si="48"/>
        <v>BCBS PAYABLE</v>
      </c>
    </row>
    <row r="2306" spans="5:8" x14ac:dyDescent="0.25">
      <c r="E2306" t="str">
        <f>""</f>
        <v/>
      </c>
      <c r="F2306" t="str">
        <f>""</f>
        <v/>
      </c>
      <c r="G2306" s="4">
        <v>748.6</v>
      </c>
      <c r="H2306" t="str">
        <f t="shared" si="48"/>
        <v>BCBS PAYABLE</v>
      </c>
    </row>
    <row r="2307" spans="5:8" x14ac:dyDescent="0.25">
      <c r="E2307" t="str">
        <f>""</f>
        <v/>
      </c>
      <c r="F2307" t="str">
        <f>""</f>
        <v/>
      </c>
      <c r="G2307" s="4">
        <v>748.6</v>
      </c>
      <c r="H2307" t="str">
        <f t="shared" si="48"/>
        <v>BCBS PAYABLE</v>
      </c>
    </row>
    <row r="2308" spans="5:8" x14ac:dyDescent="0.25">
      <c r="E2308" t="str">
        <f>""</f>
        <v/>
      </c>
      <c r="F2308" t="str">
        <f>""</f>
        <v/>
      </c>
      <c r="G2308" s="4">
        <v>1479.13</v>
      </c>
      <c r="H2308" t="str">
        <f t="shared" si="48"/>
        <v>BCBS PAYABLE</v>
      </c>
    </row>
    <row r="2309" spans="5:8" x14ac:dyDescent="0.25">
      <c r="E2309" t="str">
        <f>""</f>
        <v/>
      </c>
      <c r="F2309" t="str">
        <f>""</f>
        <v/>
      </c>
      <c r="G2309" s="4">
        <v>1497.2</v>
      </c>
      <c r="H2309" t="str">
        <f t="shared" si="48"/>
        <v>BCBS PAYABLE</v>
      </c>
    </row>
    <row r="2310" spans="5:8" x14ac:dyDescent="0.25">
      <c r="E2310" t="str">
        <f>""</f>
        <v/>
      </c>
      <c r="F2310" t="str">
        <f>""</f>
        <v/>
      </c>
      <c r="G2310" s="4">
        <v>374.3</v>
      </c>
      <c r="H2310" t="str">
        <f t="shared" si="48"/>
        <v>BCBS PAYABLE</v>
      </c>
    </row>
    <row r="2311" spans="5:8" x14ac:dyDescent="0.25">
      <c r="E2311" t="str">
        <f>""</f>
        <v/>
      </c>
      <c r="F2311" t="str">
        <f>""</f>
        <v/>
      </c>
      <c r="G2311" s="4">
        <v>748.6</v>
      </c>
      <c r="H2311" t="str">
        <f t="shared" si="48"/>
        <v>BCBS PAYABLE</v>
      </c>
    </row>
    <row r="2312" spans="5:8" x14ac:dyDescent="0.25">
      <c r="E2312" t="str">
        <f>""</f>
        <v/>
      </c>
      <c r="F2312" t="str">
        <f>""</f>
        <v/>
      </c>
      <c r="G2312" s="4">
        <v>1122.9000000000001</v>
      </c>
      <c r="H2312" t="str">
        <f t="shared" si="48"/>
        <v>BCBS PAYABLE</v>
      </c>
    </row>
    <row r="2313" spans="5:8" x14ac:dyDescent="0.25">
      <c r="E2313" t="str">
        <f>""</f>
        <v/>
      </c>
      <c r="F2313" t="str">
        <f>""</f>
        <v/>
      </c>
      <c r="G2313" s="4">
        <v>748.6</v>
      </c>
      <c r="H2313" t="str">
        <f t="shared" si="48"/>
        <v>BCBS PAYABLE</v>
      </c>
    </row>
    <row r="2314" spans="5:8" x14ac:dyDescent="0.25">
      <c r="E2314" t="str">
        <f>""</f>
        <v/>
      </c>
      <c r="F2314" t="str">
        <f>""</f>
        <v/>
      </c>
      <c r="G2314" s="4">
        <v>1122.9000000000001</v>
      </c>
      <c r="H2314" t="str">
        <f t="shared" si="48"/>
        <v>BCBS PAYABLE</v>
      </c>
    </row>
    <row r="2315" spans="5:8" x14ac:dyDescent="0.25">
      <c r="E2315" t="str">
        <f>""</f>
        <v/>
      </c>
      <c r="F2315" t="str">
        <f>""</f>
        <v/>
      </c>
      <c r="G2315" s="4">
        <v>1122.9000000000001</v>
      </c>
      <c r="H2315" t="str">
        <f t="shared" si="48"/>
        <v>BCBS PAYABLE</v>
      </c>
    </row>
    <row r="2316" spans="5:8" x14ac:dyDescent="0.25">
      <c r="E2316" t="str">
        <f>""</f>
        <v/>
      </c>
      <c r="F2316" t="str">
        <f>""</f>
        <v/>
      </c>
      <c r="G2316" s="4">
        <v>1871.5</v>
      </c>
      <c r="H2316" t="str">
        <f t="shared" si="48"/>
        <v>BCBS PAYABLE</v>
      </c>
    </row>
    <row r="2317" spans="5:8" x14ac:dyDescent="0.25">
      <c r="E2317" t="str">
        <f>""</f>
        <v/>
      </c>
      <c r="F2317" t="str">
        <f>""</f>
        <v/>
      </c>
      <c r="G2317" s="4">
        <v>374.3</v>
      </c>
      <c r="H2317" t="str">
        <f t="shared" si="48"/>
        <v>BCBS PAYABLE</v>
      </c>
    </row>
    <row r="2318" spans="5:8" x14ac:dyDescent="0.25">
      <c r="E2318" t="str">
        <f>""</f>
        <v/>
      </c>
      <c r="F2318" t="str">
        <f>""</f>
        <v/>
      </c>
      <c r="G2318" s="4">
        <v>374.3</v>
      </c>
      <c r="H2318" t="str">
        <f t="shared" si="48"/>
        <v>BCBS PAYABLE</v>
      </c>
    </row>
    <row r="2319" spans="5:8" x14ac:dyDescent="0.25">
      <c r="E2319" t="str">
        <f>""</f>
        <v/>
      </c>
      <c r="F2319" t="str">
        <f>""</f>
        <v/>
      </c>
      <c r="G2319" s="4">
        <v>7958.81</v>
      </c>
      <c r="H2319" t="str">
        <f t="shared" si="48"/>
        <v>BCBS PAYABLE</v>
      </c>
    </row>
    <row r="2320" spans="5:8" x14ac:dyDescent="0.25">
      <c r="E2320" t="str">
        <f>""</f>
        <v/>
      </c>
      <c r="F2320" t="str">
        <f>""</f>
        <v/>
      </c>
      <c r="G2320" s="4">
        <v>363.21</v>
      </c>
      <c r="H2320" t="str">
        <f t="shared" si="48"/>
        <v>BCBS PAYABLE</v>
      </c>
    </row>
    <row r="2321" spans="5:8" x14ac:dyDescent="0.25">
      <c r="E2321" t="str">
        <f>""</f>
        <v/>
      </c>
      <c r="F2321" t="str">
        <f>""</f>
        <v/>
      </c>
      <c r="G2321" s="4">
        <v>6649.98</v>
      </c>
      <c r="H2321" t="str">
        <f t="shared" si="48"/>
        <v>BCBS PAYABLE</v>
      </c>
    </row>
    <row r="2322" spans="5:8" x14ac:dyDescent="0.25">
      <c r="E2322" t="str">
        <f>""</f>
        <v/>
      </c>
      <c r="F2322" t="str">
        <f>""</f>
        <v/>
      </c>
      <c r="G2322" s="4">
        <v>1497.2</v>
      </c>
      <c r="H2322" t="str">
        <f t="shared" si="48"/>
        <v>BCBS PAYABLE</v>
      </c>
    </row>
    <row r="2323" spans="5:8" x14ac:dyDescent="0.25">
      <c r="E2323" t="str">
        <f>""</f>
        <v/>
      </c>
      <c r="F2323" t="str">
        <f>""</f>
        <v/>
      </c>
      <c r="G2323" s="4">
        <v>374.3</v>
      </c>
      <c r="H2323" t="str">
        <f t="shared" si="48"/>
        <v>BCBS PAYABLE</v>
      </c>
    </row>
    <row r="2324" spans="5:8" x14ac:dyDescent="0.25">
      <c r="E2324" t="str">
        <f>""</f>
        <v/>
      </c>
      <c r="F2324" t="str">
        <f>""</f>
        <v/>
      </c>
      <c r="G2324" s="4">
        <v>374.3</v>
      </c>
      <c r="H2324" t="str">
        <f t="shared" si="48"/>
        <v>BCBS PAYABLE</v>
      </c>
    </row>
    <row r="2325" spans="5:8" x14ac:dyDescent="0.25">
      <c r="E2325" t="str">
        <f>""</f>
        <v/>
      </c>
      <c r="F2325" t="str">
        <f>""</f>
        <v/>
      </c>
      <c r="G2325" s="4">
        <v>374.3</v>
      </c>
      <c r="H2325" t="str">
        <f t="shared" si="48"/>
        <v>BCBS PAYABLE</v>
      </c>
    </row>
    <row r="2326" spans="5:8" x14ac:dyDescent="0.25">
      <c r="E2326" t="str">
        <f>""</f>
        <v/>
      </c>
      <c r="F2326" t="str">
        <f>""</f>
        <v/>
      </c>
      <c r="G2326" s="4">
        <v>1497.2</v>
      </c>
      <c r="H2326" t="str">
        <f t="shared" si="48"/>
        <v>BCBS PAYABLE</v>
      </c>
    </row>
    <row r="2327" spans="5:8" x14ac:dyDescent="0.25">
      <c r="E2327" t="str">
        <f>""</f>
        <v/>
      </c>
      <c r="F2327" t="str">
        <f>""</f>
        <v/>
      </c>
      <c r="G2327" s="4">
        <v>748.6</v>
      </c>
      <c r="H2327" t="str">
        <f t="shared" si="48"/>
        <v>BCBS PAYABLE</v>
      </c>
    </row>
    <row r="2328" spans="5:8" x14ac:dyDescent="0.25">
      <c r="E2328" t="str">
        <f>""</f>
        <v/>
      </c>
      <c r="F2328" t="str">
        <f>""</f>
        <v/>
      </c>
      <c r="G2328" s="4">
        <v>4.8600000000000003</v>
      </c>
      <c r="H2328" t="str">
        <f t="shared" si="48"/>
        <v>BCBS PAYABLE</v>
      </c>
    </row>
    <row r="2329" spans="5:8" x14ac:dyDescent="0.25">
      <c r="E2329" t="str">
        <f>""</f>
        <v/>
      </c>
      <c r="F2329" t="str">
        <f>""</f>
        <v/>
      </c>
      <c r="G2329" s="4">
        <v>13.21</v>
      </c>
      <c r="H2329" t="str">
        <f t="shared" si="48"/>
        <v>BCBS PAYABLE</v>
      </c>
    </row>
    <row r="2330" spans="5:8" x14ac:dyDescent="0.25">
      <c r="E2330" t="str">
        <f>""</f>
        <v/>
      </c>
      <c r="F2330" t="str">
        <f>""</f>
        <v/>
      </c>
      <c r="G2330" s="4">
        <v>53.14</v>
      </c>
      <c r="H2330" t="str">
        <f t="shared" si="48"/>
        <v>BCBS PAYABLE</v>
      </c>
    </row>
    <row r="2331" spans="5:8" x14ac:dyDescent="0.25">
      <c r="E2331" t="str">
        <f>""</f>
        <v/>
      </c>
      <c r="F2331" t="str">
        <f>""</f>
        <v/>
      </c>
      <c r="G2331" s="4">
        <v>14428.24</v>
      </c>
      <c r="H2331" t="str">
        <f t="shared" si="48"/>
        <v>BCBS PAYABLE</v>
      </c>
    </row>
    <row r="2332" spans="5:8" x14ac:dyDescent="0.25">
      <c r="E2332" t="str">
        <f>"2EC202112077702"</f>
        <v>2EC202112077702</v>
      </c>
      <c r="F2332" t="str">
        <f>"BCBS PAYABLE"</f>
        <v>BCBS PAYABLE</v>
      </c>
      <c r="G2332" s="4">
        <v>1497.2</v>
      </c>
      <c r="H2332" t="str">
        <f t="shared" si="48"/>
        <v>BCBS PAYABLE</v>
      </c>
    </row>
    <row r="2333" spans="5:8" x14ac:dyDescent="0.25">
      <c r="E2333" t="str">
        <f>""</f>
        <v/>
      </c>
      <c r="F2333" t="str">
        <f>""</f>
        <v/>
      </c>
      <c r="G2333" s="4">
        <v>560.32000000000005</v>
      </c>
      <c r="H2333" t="str">
        <f t="shared" si="48"/>
        <v>BCBS PAYABLE</v>
      </c>
    </row>
    <row r="2334" spans="5:8" x14ac:dyDescent="0.25">
      <c r="E2334" t="str">
        <f>"2EC202112177863"</f>
        <v>2EC202112177863</v>
      </c>
      <c r="F2334" t="str">
        <f>"BCBS PAYABLE"</f>
        <v>BCBS PAYABLE</v>
      </c>
      <c r="G2334" s="4">
        <v>374.3</v>
      </c>
      <c r="H2334" t="str">
        <f t="shared" si="48"/>
        <v>BCBS PAYABLE</v>
      </c>
    </row>
    <row r="2335" spans="5:8" x14ac:dyDescent="0.25">
      <c r="E2335" t="str">
        <f>""</f>
        <v/>
      </c>
      <c r="F2335" t="str">
        <f>""</f>
        <v/>
      </c>
      <c r="G2335" s="4">
        <v>748.6</v>
      </c>
      <c r="H2335" t="str">
        <f t="shared" si="48"/>
        <v>BCBS PAYABLE</v>
      </c>
    </row>
    <row r="2336" spans="5:8" x14ac:dyDescent="0.25">
      <c r="E2336" t="str">
        <f>""</f>
        <v/>
      </c>
      <c r="F2336" t="str">
        <f>""</f>
        <v/>
      </c>
      <c r="G2336" s="4">
        <v>1497.2</v>
      </c>
      <c r="H2336" t="str">
        <f t="shared" si="48"/>
        <v>BCBS PAYABLE</v>
      </c>
    </row>
    <row r="2337" spans="5:8" x14ac:dyDescent="0.25">
      <c r="E2337" t="str">
        <f>""</f>
        <v/>
      </c>
      <c r="F2337" t="str">
        <f>""</f>
        <v/>
      </c>
      <c r="G2337" s="4">
        <v>1497.2</v>
      </c>
      <c r="H2337" t="str">
        <f t="shared" si="48"/>
        <v>BCBS PAYABLE</v>
      </c>
    </row>
    <row r="2338" spans="5:8" x14ac:dyDescent="0.25">
      <c r="E2338" t="str">
        <f>""</f>
        <v/>
      </c>
      <c r="F2338" t="str">
        <f>""</f>
        <v/>
      </c>
      <c r="G2338" s="4">
        <v>321.16000000000003</v>
      </c>
      <c r="H2338" t="str">
        <f t="shared" si="48"/>
        <v>BCBS PAYABLE</v>
      </c>
    </row>
    <row r="2339" spans="5:8" x14ac:dyDescent="0.25">
      <c r="E2339" t="str">
        <f>""</f>
        <v/>
      </c>
      <c r="F2339" t="str">
        <f>""</f>
        <v/>
      </c>
      <c r="G2339" s="4">
        <v>374.3</v>
      </c>
      <c r="H2339" t="str">
        <f t="shared" si="48"/>
        <v>BCBS PAYABLE</v>
      </c>
    </row>
    <row r="2340" spans="5:8" x14ac:dyDescent="0.25">
      <c r="E2340" t="str">
        <f>""</f>
        <v/>
      </c>
      <c r="F2340" t="str">
        <f>""</f>
        <v/>
      </c>
      <c r="G2340" s="4">
        <v>1871.5</v>
      </c>
      <c r="H2340" t="str">
        <f t="shared" si="48"/>
        <v>BCBS PAYABLE</v>
      </c>
    </row>
    <row r="2341" spans="5:8" x14ac:dyDescent="0.25">
      <c r="E2341" t="str">
        <f>""</f>
        <v/>
      </c>
      <c r="F2341" t="str">
        <f>""</f>
        <v/>
      </c>
      <c r="G2341" s="4">
        <v>748.6</v>
      </c>
      <c r="H2341" t="str">
        <f t="shared" si="48"/>
        <v>BCBS PAYABLE</v>
      </c>
    </row>
    <row r="2342" spans="5:8" x14ac:dyDescent="0.25">
      <c r="E2342" t="str">
        <f>""</f>
        <v/>
      </c>
      <c r="F2342" t="str">
        <f>""</f>
        <v/>
      </c>
      <c r="G2342" s="4">
        <v>748.6</v>
      </c>
      <c r="H2342" t="str">
        <f t="shared" si="48"/>
        <v>BCBS PAYABLE</v>
      </c>
    </row>
    <row r="2343" spans="5:8" x14ac:dyDescent="0.25">
      <c r="E2343" t="str">
        <f>""</f>
        <v/>
      </c>
      <c r="F2343" t="str">
        <f>""</f>
        <v/>
      </c>
      <c r="G2343" s="4">
        <v>1479.13</v>
      </c>
      <c r="H2343" t="str">
        <f t="shared" si="48"/>
        <v>BCBS PAYABLE</v>
      </c>
    </row>
    <row r="2344" spans="5:8" x14ac:dyDescent="0.25">
      <c r="E2344" t="str">
        <f>""</f>
        <v/>
      </c>
      <c r="F2344" t="str">
        <f>""</f>
        <v/>
      </c>
      <c r="G2344" s="4">
        <v>1497.2</v>
      </c>
      <c r="H2344" t="str">
        <f t="shared" si="48"/>
        <v>BCBS PAYABLE</v>
      </c>
    </row>
    <row r="2345" spans="5:8" x14ac:dyDescent="0.25">
      <c r="E2345" t="str">
        <f>""</f>
        <v/>
      </c>
      <c r="F2345" t="str">
        <f>""</f>
        <v/>
      </c>
      <c r="G2345" s="4">
        <v>374.3</v>
      </c>
      <c r="H2345" t="str">
        <f t="shared" si="48"/>
        <v>BCBS PAYABLE</v>
      </c>
    </row>
    <row r="2346" spans="5:8" x14ac:dyDescent="0.25">
      <c r="E2346" t="str">
        <f>""</f>
        <v/>
      </c>
      <c r="F2346" t="str">
        <f>""</f>
        <v/>
      </c>
      <c r="G2346" s="4">
        <v>748.6</v>
      </c>
      <c r="H2346" t="str">
        <f t="shared" si="48"/>
        <v>BCBS PAYABLE</v>
      </c>
    </row>
    <row r="2347" spans="5:8" x14ac:dyDescent="0.25">
      <c r="E2347" t="str">
        <f>""</f>
        <v/>
      </c>
      <c r="F2347" t="str">
        <f>""</f>
        <v/>
      </c>
      <c r="G2347" s="4">
        <v>1122.9000000000001</v>
      </c>
      <c r="H2347" t="str">
        <f t="shared" si="48"/>
        <v>BCBS PAYABLE</v>
      </c>
    </row>
    <row r="2348" spans="5:8" x14ac:dyDescent="0.25">
      <c r="E2348" t="str">
        <f>""</f>
        <v/>
      </c>
      <c r="F2348" t="str">
        <f>""</f>
        <v/>
      </c>
      <c r="G2348" s="4">
        <v>748.6</v>
      </c>
      <c r="H2348" t="str">
        <f t="shared" si="48"/>
        <v>BCBS PAYABLE</v>
      </c>
    </row>
    <row r="2349" spans="5:8" x14ac:dyDescent="0.25">
      <c r="E2349" t="str">
        <f>""</f>
        <v/>
      </c>
      <c r="F2349" t="str">
        <f>""</f>
        <v/>
      </c>
      <c r="G2349" s="4">
        <v>1122.9000000000001</v>
      </c>
      <c r="H2349" t="str">
        <f t="shared" si="48"/>
        <v>BCBS PAYABLE</v>
      </c>
    </row>
    <row r="2350" spans="5:8" x14ac:dyDescent="0.25">
      <c r="E2350" t="str">
        <f>""</f>
        <v/>
      </c>
      <c r="F2350" t="str">
        <f>""</f>
        <v/>
      </c>
      <c r="G2350" s="4">
        <v>1122.9000000000001</v>
      </c>
      <c r="H2350" t="str">
        <f t="shared" si="48"/>
        <v>BCBS PAYABLE</v>
      </c>
    </row>
    <row r="2351" spans="5:8" x14ac:dyDescent="0.25">
      <c r="E2351" t="str">
        <f>""</f>
        <v/>
      </c>
      <c r="F2351" t="str">
        <f>""</f>
        <v/>
      </c>
      <c r="G2351" s="4">
        <v>1871.5</v>
      </c>
      <c r="H2351" t="str">
        <f t="shared" si="48"/>
        <v>BCBS PAYABLE</v>
      </c>
    </row>
    <row r="2352" spans="5:8" x14ac:dyDescent="0.25">
      <c r="E2352" t="str">
        <f>""</f>
        <v/>
      </c>
      <c r="F2352" t="str">
        <f>""</f>
        <v/>
      </c>
      <c r="G2352" s="4">
        <v>374.3</v>
      </c>
      <c r="H2352" t="str">
        <f t="shared" si="48"/>
        <v>BCBS PAYABLE</v>
      </c>
    </row>
    <row r="2353" spans="5:8" x14ac:dyDescent="0.25">
      <c r="E2353" t="str">
        <f>""</f>
        <v/>
      </c>
      <c r="F2353" t="str">
        <f>""</f>
        <v/>
      </c>
      <c r="G2353" s="4">
        <v>374.3</v>
      </c>
      <c r="H2353" t="str">
        <f t="shared" si="48"/>
        <v>BCBS PAYABLE</v>
      </c>
    </row>
    <row r="2354" spans="5:8" x14ac:dyDescent="0.25">
      <c r="E2354" t="str">
        <f>""</f>
        <v/>
      </c>
      <c r="F2354" t="str">
        <f>""</f>
        <v/>
      </c>
      <c r="G2354" s="4">
        <v>7953.95</v>
      </c>
      <c r="H2354" t="str">
        <f t="shared" si="48"/>
        <v>BCBS PAYABLE</v>
      </c>
    </row>
    <row r="2355" spans="5:8" x14ac:dyDescent="0.25">
      <c r="E2355" t="str">
        <f>""</f>
        <v/>
      </c>
      <c r="F2355" t="str">
        <f>""</f>
        <v/>
      </c>
      <c r="G2355" s="4">
        <v>363.21</v>
      </c>
      <c r="H2355" t="str">
        <f t="shared" si="48"/>
        <v>BCBS PAYABLE</v>
      </c>
    </row>
    <row r="2356" spans="5:8" x14ac:dyDescent="0.25">
      <c r="E2356" t="str">
        <f>""</f>
        <v/>
      </c>
      <c r="F2356" t="str">
        <f>""</f>
        <v/>
      </c>
      <c r="G2356" s="4">
        <v>6654.84</v>
      </c>
      <c r="H2356" t="str">
        <f t="shared" si="48"/>
        <v>BCBS PAYABLE</v>
      </c>
    </row>
    <row r="2357" spans="5:8" x14ac:dyDescent="0.25">
      <c r="E2357" t="str">
        <f>""</f>
        <v/>
      </c>
      <c r="F2357" t="str">
        <f>""</f>
        <v/>
      </c>
      <c r="G2357" s="4">
        <v>1497.2</v>
      </c>
      <c r="H2357" t="str">
        <f t="shared" si="48"/>
        <v>BCBS PAYABLE</v>
      </c>
    </row>
    <row r="2358" spans="5:8" x14ac:dyDescent="0.25">
      <c r="E2358" t="str">
        <f>""</f>
        <v/>
      </c>
      <c r="F2358" t="str">
        <f>""</f>
        <v/>
      </c>
      <c r="G2358" s="4">
        <v>374.3</v>
      </c>
      <c r="H2358" t="str">
        <f t="shared" si="48"/>
        <v>BCBS PAYABLE</v>
      </c>
    </row>
    <row r="2359" spans="5:8" x14ac:dyDescent="0.25">
      <c r="E2359" t="str">
        <f>""</f>
        <v/>
      </c>
      <c r="F2359" t="str">
        <f>""</f>
        <v/>
      </c>
      <c r="G2359" s="4">
        <v>374.3</v>
      </c>
      <c r="H2359" t="str">
        <f t="shared" si="48"/>
        <v>BCBS PAYABLE</v>
      </c>
    </row>
    <row r="2360" spans="5:8" x14ac:dyDescent="0.25">
      <c r="E2360" t="str">
        <f>""</f>
        <v/>
      </c>
      <c r="F2360" t="str">
        <f>""</f>
        <v/>
      </c>
      <c r="G2360" s="4">
        <v>374.3</v>
      </c>
      <c r="H2360" t="str">
        <f t="shared" si="48"/>
        <v>BCBS PAYABLE</v>
      </c>
    </row>
    <row r="2361" spans="5:8" x14ac:dyDescent="0.25">
      <c r="E2361" t="str">
        <f>""</f>
        <v/>
      </c>
      <c r="F2361" t="str">
        <f>""</f>
        <v/>
      </c>
      <c r="G2361" s="4">
        <v>1497.2</v>
      </c>
      <c r="H2361" t="str">
        <f t="shared" si="48"/>
        <v>BCBS PAYABLE</v>
      </c>
    </row>
    <row r="2362" spans="5:8" x14ac:dyDescent="0.25">
      <c r="E2362" t="str">
        <f>""</f>
        <v/>
      </c>
      <c r="F2362" t="str">
        <f>""</f>
        <v/>
      </c>
      <c r="G2362" s="4">
        <v>748.6</v>
      </c>
      <c r="H2362" t="str">
        <f t="shared" si="48"/>
        <v>BCBS PAYABLE</v>
      </c>
    </row>
    <row r="2363" spans="5:8" x14ac:dyDescent="0.25">
      <c r="E2363" t="str">
        <f>""</f>
        <v/>
      </c>
      <c r="F2363" t="str">
        <f>""</f>
        <v/>
      </c>
      <c r="G2363" s="4">
        <v>4.8600000000000003</v>
      </c>
      <c r="H2363" t="str">
        <f t="shared" ref="H2363:H2426" si="49">"BCBS PAYABLE"</f>
        <v>BCBS PAYABLE</v>
      </c>
    </row>
    <row r="2364" spans="5:8" x14ac:dyDescent="0.25">
      <c r="E2364" t="str">
        <f>""</f>
        <v/>
      </c>
      <c r="F2364" t="str">
        <f>""</f>
        <v/>
      </c>
      <c r="G2364" s="4">
        <v>13.21</v>
      </c>
      <c r="H2364" t="str">
        <f t="shared" si="49"/>
        <v>BCBS PAYABLE</v>
      </c>
    </row>
    <row r="2365" spans="5:8" x14ac:dyDescent="0.25">
      <c r="E2365" t="str">
        <f>""</f>
        <v/>
      </c>
      <c r="F2365" t="str">
        <f>""</f>
        <v/>
      </c>
      <c r="G2365" s="4">
        <v>53.14</v>
      </c>
      <c r="H2365" t="str">
        <f t="shared" si="49"/>
        <v>BCBS PAYABLE</v>
      </c>
    </row>
    <row r="2366" spans="5:8" x14ac:dyDescent="0.25">
      <c r="E2366" t="str">
        <f>""</f>
        <v/>
      </c>
      <c r="F2366" t="str">
        <f>""</f>
        <v/>
      </c>
      <c r="G2366" s="4">
        <v>14708.4</v>
      </c>
      <c r="H2366" t="str">
        <f t="shared" si="49"/>
        <v>BCBS PAYABLE</v>
      </c>
    </row>
    <row r="2367" spans="5:8" x14ac:dyDescent="0.25">
      <c r="E2367" t="str">
        <f>"2EC202112177864"</f>
        <v>2EC202112177864</v>
      </c>
      <c r="F2367" t="str">
        <f>"BCBS PAYABLE"</f>
        <v>BCBS PAYABLE</v>
      </c>
      <c r="G2367" s="4">
        <v>1497.2</v>
      </c>
      <c r="H2367" t="str">
        <f t="shared" si="49"/>
        <v>BCBS PAYABLE</v>
      </c>
    </row>
    <row r="2368" spans="5:8" x14ac:dyDescent="0.25">
      <c r="E2368" t="str">
        <f>""</f>
        <v/>
      </c>
      <c r="F2368" t="str">
        <f>""</f>
        <v/>
      </c>
      <c r="G2368" s="4">
        <v>560.32000000000005</v>
      </c>
      <c r="H2368" t="str">
        <f t="shared" si="49"/>
        <v>BCBS PAYABLE</v>
      </c>
    </row>
    <row r="2369" spans="5:8" x14ac:dyDescent="0.25">
      <c r="E2369" t="str">
        <f>"2EF202112077701"</f>
        <v>2EF202112077701</v>
      </c>
      <c r="F2369" t="str">
        <f>"BCBS PAYABLE"</f>
        <v>BCBS PAYABLE</v>
      </c>
      <c r="G2369" s="4">
        <v>374.3</v>
      </c>
      <c r="H2369" t="str">
        <f t="shared" si="49"/>
        <v>BCBS PAYABLE</v>
      </c>
    </row>
    <row r="2370" spans="5:8" x14ac:dyDescent="0.25">
      <c r="E2370" t="str">
        <f>""</f>
        <v/>
      </c>
      <c r="F2370" t="str">
        <f>""</f>
        <v/>
      </c>
      <c r="G2370" s="4">
        <v>9.32</v>
      </c>
      <c r="H2370" t="str">
        <f t="shared" si="49"/>
        <v>BCBS PAYABLE</v>
      </c>
    </row>
    <row r="2371" spans="5:8" x14ac:dyDescent="0.25">
      <c r="E2371" t="str">
        <f>""</f>
        <v/>
      </c>
      <c r="F2371" t="str">
        <f>""</f>
        <v/>
      </c>
      <c r="G2371" s="4">
        <v>739.28</v>
      </c>
      <c r="H2371" t="str">
        <f t="shared" si="49"/>
        <v>BCBS PAYABLE</v>
      </c>
    </row>
    <row r="2372" spans="5:8" x14ac:dyDescent="0.25">
      <c r="E2372" t="str">
        <f>""</f>
        <v/>
      </c>
      <c r="F2372" t="str">
        <f>""</f>
        <v/>
      </c>
      <c r="G2372" s="4">
        <v>1942.89</v>
      </c>
      <c r="H2372" t="str">
        <f t="shared" si="49"/>
        <v>BCBS PAYABLE</v>
      </c>
    </row>
    <row r="2373" spans="5:8" x14ac:dyDescent="0.25">
      <c r="E2373" t="str">
        <f>"2EF202112177863"</f>
        <v>2EF202112177863</v>
      </c>
      <c r="F2373" t="str">
        <f>"BCBS PAYABLE"</f>
        <v>BCBS PAYABLE</v>
      </c>
      <c r="G2373" s="4">
        <v>374.3</v>
      </c>
      <c r="H2373" t="str">
        <f t="shared" si="49"/>
        <v>BCBS PAYABLE</v>
      </c>
    </row>
    <row r="2374" spans="5:8" x14ac:dyDescent="0.25">
      <c r="E2374" t="str">
        <f>""</f>
        <v/>
      </c>
      <c r="F2374" t="str">
        <f>""</f>
        <v/>
      </c>
      <c r="G2374" s="4">
        <v>9.32</v>
      </c>
      <c r="H2374" t="str">
        <f t="shared" si="49"/>
        <v>BCBS PAYABLE</v>
      </c>
    </row>
    <row r="2375" spans="5:8" x14ac:dyDescent="0.25">
      <c r="E2375" t="str">
        <f>""</f>
        <v/>
      </c>
      <c r="F2375" t="str">
        <f>""</f>
        <v/>
      </c>
      <c r="G2375" s="4">
        <v>739.28</v>
      </c>
      <c r="H2375" t="str">
        <f t="shared" si="49"/>
        <v>BCBS PAYABLE</v>
      </c>
    </row>
    <row r="2376" spans="5:8" x14ac:dyDescent="0.25">
      <c r="E2376" t="str">
        <f>""</f>
        <v/>
      </c>
      <c r="F2376" t="str">
        <f>""</f>
        <v/>
      </c>
      <c r="G2376" s="4">
        <v>1942.89</v>
      </c>
      <c r="H2376" t="str">
        <f t="shared" si="49"/>
        <v>BCBS PAYABLE</v>
      </c>
    </row>
    <row r="2377" spans="5:8" x14ac:dyDescent="0.25">
      <c r="E2377" t="str">
        <f>"2EO202112077701"</f>
        <v>2EO202112077701</v>
      </c>
      <c r="F2377" t="str">
        <f>"BCBS PAYABLE"</f>
        <v>BCBS PAYABLE</v>
      </c>
      <c r="G2377" s="4">
        <v>748.6</v>
      </c>
      <c r="H2377" t="str">
        <f t="shared" si="49"/>
        <v>BCBS PAYABLE</v>
      </c>
    </row>
    <row r="2378" spans="5:8" x14ac:dyDescent="0.25">
      <c r="E2378" t="str">
        <f>""</f>
        <v/>
      </c>
      <c r="F2378" t="str">
        <f>""</f>
        <v/>
      </c>
      <c r="G2378" s="4">
        <v>488.4</v>
      </c>
      <c r="H2378" t="str">
        <f t="shared" si="49"/>
        <v>BCBS PAYABLE</v>
      </c>
    </row>
    <row r="2379" spans="5:8" x14ac:dyDescent="0.25">
      <c r="E2379" t="str">
        <f>""</f>
        <v/>
      </c>
      <c r="F2379" t="str">
        <f>""</f>
        <v/>
      </c>
      <c r="G2379" s="4">
        <v>2575.6799999999998</v>
      </c>
      <c r="H2379" t="str">
        <f t="shared" si="49"/>
        <v>BCBS PAYABLE</v>
      </c>
    </row>
    <row r="2380" spans="5:8" x14ac:dyDescent="0.25">
      <c r="E2380" t="str">
        <f>""</f>
        <v/>
      </c>
      <c r="F2380" t="str">
        <f>""</f>
        <v/>
      </c>
      <c r="G2380" s="4">
        <v>748.6</v>
      </c>
      <c r="H2380" t="str">
        <f t="shared" si="49"/>
        <v>BCBS PAYABLE</v>
      </c>
    </row>
    <row r="2381" spans="5:8" x14ac:dyDescent="0.25">
      <c r="E2381" t="str">
        <f>""</f>
        <v/>
      </c>
      <c r="F2381" t="str">
        <f>""</f>
        <v/>
      </c>
      <c r="G2381" s="4">
        <v>374.3</v>
      </c>
      <c r="H2381" t="str">
        <f t="shared" si="49"/>
        <v>BCBS PAYABLE</v>
      </c>
    </row>
    <row r="2382" spans="5:8" x14ac:dyDescent="0.25">
      <c r="E2382" t="str">
        <f>""</f>
        <v/>
      </c>
      <c r="F2382" t="str">
        <f>""</f>
        <v/>
      </c>
      <c r="G2382" s="4">
        <v>748.6</v>
      </c>
      <c r="H2382" t="str">
        <f t="shared" si="49"/>
        <v>BCBS PAYABLE</v>
      </c>
    </row>
    <row r="2383" spans="5:8" x14ac:dyDescent="0.25">
      <c r="E2383" t="str">
        <f>""</f>
        <v/>
      </c>
      <c r="F2383" t="str">
        <f>""</f>
        <v/>
      </c>
      <c r="G2383" s="4">
        <v>5988.8</v>
      </c>
      <c r="H2383" t="str">
        <f t="shared" si="49"/>
        <v>BCBS PAYABLE</v>
      </c>
    </row>
    <row r="2384" spans="5:8" x14ac:dyDescent="0.25">
      <c r="E2384" t="str">
        <f>""</f>
        <v/>
      </c>
      <c r="F2384" t="str">
        <f>""</f>
        <v/>
      </c>
      <c r="G2384" s="4">
        <v>748.6</v>
      </c>
      <c r="H2384" t="str">
        <f t="shared" si="49"/>
        <v>BCBS PAYABLE</v>
      </c>
    </row>
    <row r="2385" spans="5:8" x14ac:dyDescent="0.25">
      <c r="E2385" t="str">
        <f>""</f>
        <v/>
      </c>
      <c r="F2385" t="str">
        <f>""</f>
        <v/>
      </c>
      <c r="G2385" s="4">
        <v>1497.2</v>
      </c>
      <c r="H2385" t="str">
        <f t="shared" si="49"/>
        <v>BCBS PAYABLE</v>
      </c>
    </row>
    <row r="2386" spans="5:8" x14ac:dyDescent="0.25">
      <c r="E2386" t="str">
        <f>""</f>
        <v/>
      </c>
      <c r="F2386" t="str">
        <f>""</f>
        <v/>
      </c>
      <c r="G2386" s="4">
        <v>3743</v>
      </c>
      <c r="H2386" t="str">
        <f t="shared" si="49"/>
        <v>BCBS PAYABLE</v>
      </c>
    </row>
    <row r="2387" spans="5:8" x14ac:dyDescent="0.25">
      <c r="E2387" t="str">
        <f>""</f>
        <v/>
      </c>
      <c r="F2387" t="str">
        <f>""</f>
        <v/>
      </c>
      <c r="G2387" s="4">
        <v>748.6</v>
      </c>
      <c r="H2387" t="str">
        <f t="shared" si="49"/>
        <v>BCBS PAYABLE</v>
      </c>
    </row>
    <row r="2388" spans="5:8" x14ac:dyDescent="0.25">
      <c r="E2388" t="str">
        <f>""</f>
        <v/>
      </c>
      <c r="F2388" t="str">
        <f>""</f>
        <v/>
      </c>
      <c r="G2388" s="4">
        <v>1122.9000000000001</v>
      </c>
      <c r="H2388" t="str">
        <f t="shared" si="49"/>
        <v>BCBS PAYABLE</v>
      </c>
    </row>
    <row r="2389" spans="5:8" x14ac:dyDescent="0.25">
      <c r="E2389" t="str">
        <f>""</f>
        <v/>
      </c>
      <c r="F2389" t="str">
        <f>""</f>
        <v/>
      </c>
      <c r="G2389" s="4">
        <v>374.3</v>
      </c>
      <c r="H2389" t="str">
        <f t="shared" si="49"/>
        <v>BCBS PAYABLE</v>
      </c>
    </row>
    <row r="2390" spans="5:8" x14ac:dyDescent="0.25">
      <c r="E2390" t="str">
        <f>""</f>
        <v/>
      </c>
      <c r="F2390" t="str">
        <f>""</f>
        <v/>
      </c>
      <c r="G2390" s="4">
        <v>1122.9000000000001</v>
      </c>
      <c r="H2390" t="str">
        <f t="shared" si="49"/>
        <v>BCBS PAYABLE</v>
      </c>
    </row>
    <row r="2391" spans="5:8" x14ac:dyDescent="0.25">
      <c r="E2391" t="str">
        <f>""</f>
        <v/>
      </c>
      <c r="F2391" t="str">
        <f>""</f>
        <v/>
      </c>
      <c r="G2391" s="4">
        <v>748.6</v>
      </c>
      <c r="H2391" t="str">
        <f t="shared" si="49"/>
        <v>BCBS PAYABLE</v>
      </c>
    </row>
    <row r="2392" spans="5:8" x14ac:dyDescent="0.25">
      <c r="E2392" t="str">
        <f>""</f>
        <v/>
      </c>
      <c r="F2392" t="str">
        <f>""</f>
        <v/>
      </c>
      <c r="G2392" s="4">
        <v>3719.53</v>
      </c>
      <c r="H2392" t="str">
        <f t="shared" si="49"/>
        <v>BCBS PAYABLE</v>
      </c>
    </row>
    <row r="2393" spans="5:8" x14ac:dyDescent="0.25">
      <c r="E2393" t="str">
        <f>""</f>
        <v/>
      </c>
      <c r="F2393" t="str">
        <f>""</f>
        <v/>
      </c>
      <c r="G2393" s="4">
        <v>1122.9000000000001</v>
      </c>
      <c r="H2393" t="str">
        <f t="shared" si="49"/>
        <v>BCBS PAYABLE</v>
      </c>
    </row>
    <row r="2394" spans="5:8" x14ac:dyDescent="0.25">
      <c r="E2394" t="str">
        <f>""</f>
        <v/>
      </c>
      <c r="F2394" t="str">
        <f>""</f>
        <v/>
      </c>
      <c r="G2394" s="4">
        <v>748.6</v>
      </c>
      <c r="H2394" t="str">
        <f t="shared" si="49"/>
        <v>BCBS PAYABLE</v>
      </c>
    </row>
    <row r="2395" spans="5:8" x14ac:dyDescent="0.25">
      <c r="E2395" t="str">
        <f>""</f>
        <v/>
      </c>
      <c r="F2395" t="str">
        <f>""</f>
        <v/>
      </c>
      <c r="G2395" s="4">
        <v>374.3</v>
      </c>
      <c r="H2395" t="str">
        <f t="shared" si="49"/>
        <v>BCBS PAYABLE</v>
      </c>
    </row>
    <row r="2396" spans="5:8" x14ac:dyDescent="0.25">
      <c r="E2396" t="str">
        <f>""</f>
        <v/>
      </c>
      <c r="F2396" t="str">
        <f>""</f>
        <v/>
      </c>
      <c r="G2396" s="4">
        <v>3743</v>
      </c>
      <c r="H2396" t="str">
        <f t="shared" si="49"/>
        <v>BCBS PAYABLE</v>
      </c>
    </row>
    <row r="2397" spans="5:8" x14ac:dyDescent="0.25">
      <c r="E2397" t="str">
        <f>""</f>
        <v/>
      </c>
      <c r="F2397" t="str">
        <f>""</f>
        <v/>
      </c>
      <c r="G2397" s="4">
        <v>1497.2</v>
      </c>
      <c r="H2397" t="str">
        <f t="shared" si="49"/>
        <v>BCBS PAYABLE</v>
      </c>
    </row>
    <row r="2398" spans="5:8" x14ac:dyDescent="0.25">
      <c r="E2398" t="str">
        <f>""</f>
        <v/>
      </c>
      <c r="F2398" t="str">
        <f>""</f>
        <v/>
      </c>
      <c r="G2398" s="4">
        <v>2994.4</v>
      </c>
      <c r="H2398" t="str">
        <f t="shared" si="49"/>
        <v>BCBS PAYABLE</v>
      </c>
    </row>
    <row r="2399" spans="5:8" x14ac:dyDescent="0.25">
      <c r="E2399" t="str">
        <f>""</f>
        <v/>
      </c>
      <c r="F2399" t="str">
        <f>""</f>
        <v/>
      </c>
      <c r="G2399" s="4">
        <v>3368.7</v>
      </c>
      <c r="H2399" t="str">
        <f t="shared" si="49"/>
        <v>BCBS PAYABLE</v>
      </c>
    </row>
    <row r="2400" spans="5:8" x14ac:dyDescent="0.25">
      <c r="E2400" t="str">
        <f>""</f>
        <v/>
      </c>
      <c r="F2400" t="str">
        <f>""</f>
        <v/>
      </c>
      <c r="G2400" s="4">
        <v>5994.41</v>
      </c>
      <c r="H2400" t="str">
        <f t="shared" si="49"/>
        <v>BCBS PAYABLE</v>
      </c>
    </row>
    <row r="2401" spans="5:8" x14ac:dyDescent="0.25">
      <c r="E2401" t="str">
        <f>""</f>
        <v/>
      </c>
      <c r="F2401" t="str">
        <f>""</f>
        <v/>
      </c>
      <c r="G2401" s="4">
        <v>374.3</v>
      </c>
      <c r="H2401" t="str">
        <f t="shared" si="49"/>
        <v>BCBS PAYABLE</v>
      </c>
    </row>
    <row r="2402" spans="5:8" x14ac:dyDescent="0.25">
      <c r="E2402" t="str">
        <f>""</f>
        <v/>
      </c>
      <c r="F2402" t="str">
        <f>""</f>
        <v/>
      </c>
      <c r="G2402" s="4">
        <v>374.3</v>
      </c>
      <c r="H2402" t="str">
        <f t="shared" si="49"/>
        <v>BCBS PAYABLE</v>
      </c>
    </row>
    <row r="2403" spans="5:8" x14ac:dyDescent="0.25">
      <c r="E2403" t="str">
        <f>""</f>
        <v/>
      </c>
      <c r="F2403" t="str">
        <f>""</f>
        <v/>
      </c>
      <c r="G2403" s="4">
        <v>20879.080000000002</v>
      </c>
      <c r="H2403" t="str">
        <f t="shared" si="49"/>
        <v>BCBS PAYABLE</v>
      </c>
    </row>
    <row r="2404" spans="5:8" x14ac:dyDescent="0.25">
      <c r="E2404" t="str">
        <f>""</f>
        <v/>
      </c>
      <c r="F2404" t="str">
        <f>""</f>
        <v/>
      </c>
      <c r="G2404" s="4">
        <v>1111.8900000000001</v>
      </c>
      <c r="H2404" t="str">
        <f t="shared" si="49"/>
        <v>BCBS PAYABLE</v>
      </c>
    </row>
    <row r="2405" spans="5:8" x14ac:dyDescent="0.25">
      <c r="E2405" t="str">
        <f>""</f>
        <v/>
      </c>
      <c r="F2405" t="str">
        <f>""</f>
        <v/>
      </c>
      <c r="G2405" s="4">
        <v>20680.77</v>
      </c>
      <c r="H2405" t="str">
        <f t="shared" si="49"/>
        <v>BCBS PAYABLE</v>
      </c>
    </row>
    <row r="2406" spans="5:8" x14ac:dyDescent="0.25">
      <c r="E2406" t="str">
        <f>""</f>
        <v/>
      </c>
      <c r="F2406" t="str">
        <f>""</f>
        <v/>
      </c>
      <c r="G2406" s="4">
        <v>5240.2</v>
      </c>
      <c r="H2406" t="str">
        <f t="shared" si="49"/>
        <v>BCBS PAYABLE</v>
      </c>
    </row>
    <row r="2407" spans="5:8" x14ac:dyDescent="0.25">
      <c r="E2407" t="str">
        <f>""</f>
        <v/>
      </c>
      <c r="F2407" t="str">
        <f>""</f>
        <v/>
      </c>
      <c r="G2407" s="4">
        <v>374.3</v>
      </c>
      <c r="H2407" t="str">
        <f t="shared" si="49"/>
        <v>BCBS PAYABLE</v>
      </c>
    </row>
    <row r="2408" spans="5:8" x14ac:dyDescent="0.25">
      <c r="E2408" t="str">
        <f>""</f>
        <v/>
      </c>
      <c r="F2408" t="str">
        <f>""</f>
        <v/>
      </c>
      <c r="G2408" s="4">
        <v>748.6</v>
      </c>
      <c r="H2408" t="str">
        <f t="shared" si="49"/>
        <v>BCBS PAYABLE</v>
      </c>
    </row>
    <row r="2409" spans="5:8" x14ac:dyDescent="0.25">
      <c r="E2409" t="str">
        <f>""</f>
        <v/>
      </c>
      <c r="F2409" t="str">
        <f>""</f>
        <v/>
      </c>
      <c r="G2409" s="4">
        <v>95.82</v>
      </c>
      <c r="H2409" t="str">
        <f t="shared" si="49"/>
        <v>BCBS PAYABLE</v>
      </c>
    </row>
    <row r="2410" spans="5:8" x14ac:dyDescent="0.25">
      <c r="E2410" t="str">
        <f>""</f>
        <v/>
      </c>
      <c r="F2410" t="str">
        <f>""</f>
        <v/>
      </c>
      <c r="G2410" s="4">
        <v>748.6</v>
      </c>
      <c r="H2410" t="str">
        <f t="shared" si="49"/>
        <v>BCBS PAYABLE</v>
      </c>
    </row>
    <row r="2411" spans="5:8" x14ac:dyDescent="0.25">
      <c r="E2411" t="str">
        <f>""</f>
        <v/>
      </c>
      <c r="F2411" t="str">
        <f>""</f>
        <v/>
      </c>
      <c r="G2411" s="4">
        <v>374.3</v>
      </c>
      <c r="H2411" t="str">
        <f t="shared" si="49"/>
        <v>BCBS PAYABLE</v>
      </c>
    </row>
    <row r="2412" spans="5:8" x14ac:dyDescent="0.25">
      <c r="E2412" t="str">
        <f>""</f>
        <v/>
      </c>
      <c r="F2412" t="str">
        <f>""</f>
        <v/>
      </c>
      <c r="G2412" s="4">
        <v>748.6</v>
      </c>
      <c r="H2412" t="str">
        <f t="shared" si="49"/>
        <v>BCBS PAYABLE</v>
      </c>
    </row>
    <row r="2413" spans="5:8" x14ac:dyDescent="0.25">
      <c r="E2413" t="str">
        <f>""</f>
        <v/>
      </c>
      <c r="F2413" t="str">
        <f>""</f>
        <v/>
      </c>
      <c r="G2413" s="4">
        <v>748.6</v>
      </c>
      <c r="H2413" t="str">
        <f t="shared" si="49"/>
        <v>BCBS PAYABLE</v>
      </c>
    </row>
    <row r="2414" spans="5:8" x14ac:dyDescent="0.25">
      <c r="E2414" t="str">
        <f>""</f>
        <v/>
      </c>
      <c r="F2414" t="str">
        <f>""</f>
        <v/>
      </c>
      <c r="G2414" s="4">
        <v>418.72</v>
      </c>
      <c r="H2414" t="str">
        <f t="shared" si="49"/>
        <v>BCBS PAYABLE</v>
      </c>
    </row>
    <row r="2415" spans="5:8" x14ac:dyDescent="0.25">
      <c r="E2415" t="str">
        <f>""</f>
        <v/>
      </c>
      <c r="F2415" t="str">
        <f>""</f>
        <v/>
      </c>
      <c r="G2415" s="4">
        <v>3460.88</v>
      </c>
      <c r="H2415" t="str">
        <f t="shared" si="49"/>
        <v>BCBS PAYABLE</v>
      </c>
    </row>
    <row r="2416" spans="5:8" x14ac:dyDescent="0.25">
      <c r="E2416" t="str">
        <f>""</f>
        <v/>
      </c>
      <c r="F2416" t="str">
        <f>""</f>
        <v/>
      </c>
      <c r="G2416" s="4">
        <v>2175.1799999999998</v>
      </c>
      <c r="H2416" t="str">
        <f t="shared" si="49"/>
        <v>BCBS PAYABLE</v>
      </c>
    </row>
    <row r="2417" spans="5:8" x14ac:dyDescent="0.25">
      <c r="E2417" t="str">
        <f>""</f>
        <v/>
      </c>
      <c r="F2417" t="str">
        <f>""</f>
        <v/>
      </c>
      <c r="G2417" s="4">
        <v>4795.28</v>
      </c>
      <c r="H2417" t="str">
        <f t="shared" si="49"/>
        <v>BCBS PAYABLE</v>
      </c>
    </row>
    <row r="2418" spans="5:8" x14ac:dyDescent="0.25">
      <c r="E2418" t="str">
        <f>""</f>
        <v/>
      </c>
      <c r="F2418" t="str">
        <f>""</f>
        <v/>
      </c>
      <c r="G2418" s="4">
        <v>4046.65</v>
      </c>
      <c r="H2418" t="str">
        <f t="shared" si="49"/>
        <v>BCBS PAYABLE</v>
      </c>
    </row>
    <row r="2419" spans="5:8" x14ac:dyDescent="0.25">
      <c r="E2419" t="str">
        <f>""</f>
        <v/>
      </c>
      <c r="F2419" t="str">
        <f>""</f>
        <v/>
      </c>
      <c r="G2419" s="4">
        <v>652.78</v>
      </c>
      <c r="H2419" t="str">
        <f t="shared" si="49"/>
        <v>BCBS PAYABLE</v>
      </c>
    </row>
    <row r="2420" spans="5:8" x14ac:dyDescent="0.25">
      <c r="E2420" t="str">
        <f>""</f>
        <v/>
      </c>
      <c r="F2420" t="str">
        <f>""</f>
        <v/>
      </c>
      <c r="G2420" s="4">
        <v>9.7200000000000006</v>
      </c>
      <c r="H2420" t="str">
        <f t="shared" si="49"/>
        <v>BCBS PAYABLE</v>
      </c>
    </row>
    <row r="2421" spans="5:8" x14ac:dyDescent="0.25">
      <c r="E2421" t="str">
        <f>""</f>
        <v/>
      </c>
      <c r="F2421" t="str">
        <f>""</f>
        <v/>
      </c>
      <c r="G2421" s="4">
        <v>13.75</v>
      </c>
      <c r="H2421" t="str">
        <f t="shared" si="49"/>
        <v>BCBS PAYABLE</v>
      </c>
    </row>
    <row r="2422" spans="5:8" x14ac:dyDescent="0.25">
      <c r="E2422" t="str">
        <f>""</f>
        <v/>
      </c>
      <c r="F2422" t="str">
        <f>""</f>
        <v/>
      </c>
      <c r="G2422" s="4">
        <v>372.76</v>
      </c>
      <c r="H2422" t="str">
        <f t="shared" si="49"/>
        <v>BCBS PAYABLE</v>
      </c>
    </row>
    <row r="2423" spans="5:8" x14ac:dyDescent="0.25">
      <c r="E2423" t="str">
        <f>"2EO202112077702"</f>
        <v>2EO202112077702</v>
      </c>
      <c r="F2423" t="str">
        <f>"BCBS PAYABLE"</f>
        <v>BCBS PAYABLE</v>
      </c>
      <c r="G2423" s="4">
        <v>3368.7</v>
      </c>
      <c r="H2423" t="str">
        <f t="shared" si="49"/>
        <v>BCBS PAYABLE</v>
      </c>
    </row>
    <row r="2424" spans="5:8" x14ac:dyDescent="0.25">
      <c r="E2424" t="str">
        <f>"2EO202112177863"</f>
        <v>2EO202112177863</v>
      </c>
      <c r="F2424" t="str">
        <f>"BCBS PAYABLE"</f>
        <v>BCBS PAYABLE</v>
      </c>
      <c r="G2424" s="4">
        <v>748.6</v>
      </c>
      <c r="H2424" t="str">
        <f t="shared" si="49"/>
        <v>BCBS PAYABLE</v>
      </c>
    </row>
    <row r="2425" spans="5:8" x14ac:dyDescent="0.25">
      <c r="E2425" t="str">
        <f>""</f>
        <v/>
      </c>
      <c r="F2425" t="str">
        <f>""</f>
        <v/>
      </c>
      <c r="G2425" s="4">
        <v>488.4</v>
      </c>
      <c r="H2425" t="str">
        <f t="shared" si="49"/>
        <v>BCBS PAYABLE</v>
      </c>
    </row>
    <row r="2426" spans="5:8" x14ac:dyDescent="0.25">
      <c r="E2426" t="str">
        <f>""</f>
        <v/>
      </c>
      <c r="F2426" t="str">
        <f>""</f>
        <v/>
      </c>
      <c r="G2426" s="4">
        <v>2575.6799999999998</v>
      </c>
      <c r="H2426" t="str">
        <f t="shared" si="49"/>
        <v>BCBS PAYABLE</v>
      </c>
    </row>
    <row r="2427" spans="5:8" x14ac:dyDescent="0.25">
      <c r="E2427" t="str">
        <f>""</f>
        <v/>
      </c>
      <c r="F2427" t="str">
        <f>""</f>
        <v/>
      </c>
      <c r="G2427" s="4">
        <v>748.6</v>
      </c>
      <c r="H2427" t="str">
        <f t="shared" ref="H2427:H2490" si="50">"BCBS PAYABLE"</f>
        <v>BCBS PAYABLE</v>
      </c>
    </row>
    <row r="2428" spans="5:8" x14ac:dyDescent="0.25">
      <c r="E2428" t="str">
        <f>""</f>
        <v/>
      </c>
      <c r="F2428" t="str">
        <f>""</f>
        <v/>
      </c>
      <c r="G2428" s="4">
        <v>374.3</v>
      </c>
      <c r="H2428" t="str">
        <f t="shared" si="50"/>
        <v>BCBS PAYABLE</v>
      </c>
    </row>
    <row r="2429" spans="5:8" x14ac:dyDescent="0.25">
      <c r="E2429" t="str">
        <f>""</f>
        <v/>
      </c>
      <c r="F2429" t="str">
        <f>""</f>
        <v/>
      </c>
      <c r="G2429" s="4">
        <v>748.6</v>
      </c>
      <c r="H2429" t="str">
        <f t="shared" si="50"/>
        <v>BCBS PAYABLE</v>
      </c>
    </row>
    <row r="2430" spans="5:8" x14ac:dyDescent="0.25">
      <c r="E2430" t="str">
        <f>""</f>
        <v/>
      </c>
      <c r="F2430" t="str">
        <f>""</f>
        <v/>
      </c>
      <c r="G2430" s="4">
        <v>5988.8</v>
      </c>
      <c r="H2430" t="str">
        <f t="shared" si="50"/>
        <v>BCBS PAYABLE</v>
      </c>
    </row>
    <row r="2431" spans="5:8" x14ac:dyDescent="0.25">
      <c r="E2431" t="str">
        <f>""</f>
        <v/>
      </c>
      <c r="F2431" t="str">
        <f>""</f>
        <v/>
      </c>
      <c r="G2431" s="4">
        <v>748.6</v>
      </c>
      <c r="H2431" t="str">
        <f t="shared" si="50"/>
        <v>BCBS PAYABLE</v>
      </c>
    </row>
    <row r="2432" spans="5:8" x14ac:dyDescent="0.25">
      <c r="E2432" t="str">
        <f>""</f>
        <v/>
      </c>
      <c r="F2432" t="str">
        <f>""</f>
        <v/>
      </c>
      <c r="G2432" s="4">
        <v>1497.2</v>
      </c>
      <c r="H2432" t="str">
        <f t="shared" si="50"/>
        <v>BCBS PAYABLE</v>
      </c>
    </row>
    <row r="2433" spans="5:8" x14ac:dyDescent="0.25">
      <c r="E2433" t="str">
        <f>""</f>
        <v/>
      </c>
      <c r="F2433" t="str">
        <f>""</f>
        <v/>
      </c>
      <c r="G2433" s="4">
        <v>3368.7</v>
      </c>
      <c r="H2433" t="str">
        <f t="shared" si="50"/>
        <v>BCBS PAYABLE</v>
      </c>
    </row>
    <row r="2434" spans="5:8" x14ac:dyDescent="0.25">
      <c r="E2434" t="str">
        <f>""</f>
        <v/>
      </c>
      <c r="F2434" t="str">
        <f>""</f>
        <v/>
      </c>
      <c r="G2434" s="4">
        <v>748.6</v>
      </c>
      <c r="H2434" t="str">
        <f t="shared" si="50"/>
        <v>BCBS PAYABLE</v>
      </c>
    </row>
    <row r="2435" spans="5:8" x14ac:dyDescent="0.25">
      <c r="E2435" t="str">
        <f>""</f>
        <v/>
      </c>
      <c r="F2435" t="str">
        <f>""</f>
        <v/>
      </c>
      <c r="G2435" s="4">
        <v>1122.9000000000001</v>
      </c>
      <c r="H2435" t="str">
        <f t="shared" si="50"/>
        <v>BCBS PAYABLE</v>
      </c>
    </row>
    <row r="2436" spans="5:8" x14ac:dyDescent="0.25">
      <c r="E2436" t="str">
        <f>""</f>
        <v/>
      </c>
      <c r="F2436" t="str">
        <f>""</f>
        <v/>
      </c>
      <c r="G2436" s="4">
        <v>374.3</v>
      </c>
      <c r="H2436" t="str">
        <f t="shared" si="50"/>
        <v>BCBS PAYABLE</v>
      </c>
    </row>
    <row r="2437" spans="5:8" x14ac:dyDescent="0.25">
      <c r="E2437" t="str">
        <f>""</f>
        <v/>
      </c>
      <c r="F2437" t="str">
        <f>""</f>
        <v/>
      </c>
      <c r="G2437" s="4">
        <v>1122.9000000000001</v>
      </c>
      <c r="H2437" t="str">
        <f t="shared" si="50"/>
        <v>BCBS PAYABLE</v>
      </c>
    </row>
    <row r="2438" spans="5:8" x14ac:dyDescent="0.25">
      <c r="E2438" t="str">
        <f>""</f>
        <v/>
      </c>
      <c r="F2438" t="str">
        <f>""</f>
        <v/>
      </c>
      <c r="G2438" s="4">
        <v>748.6</v>
      </c>
      <c r="H2438" t="str">
        <f t="shared" si="50"/>
        <v>BCBS PAYABLE</v>
      </c>
    </row>
    <row r="2439" spans="5:8" x14ac:dyDescent="0.25">
      <c r="E2439" t="str">
        <f>""</f>
        <v/>
      </c>
      <c r="F2439" t="str">
        <f>""</f>
        <v/>
      </c>
      <c r="G2439" s="4">
        <v>3719.53</v>
      </c>
      <c r="H2439" t="str">
        <f t="shared" si="50"/>
        <v>BCBS PAYABLE</v>
      </c>
    </row>
    <row r="2440" spans="5:8" x14ac:dyDescent="0.25">
      <c r="E2440" t="str">
        <f>""</f>
        <v/>
      </c>
      <c r="F2440" t="str">
        <f>""</f>
        <v/>
      </c>
      <c r="G2440" s="4">
        <v>1122.9000000000001</v>
      </c>
      <c r="H2440" t="str">
        <f t="shared" si="50"/>
        <v>BCBS PAYABLE</v>
      </c>
    </row>
    <row r="2441" spans="5:8" x14ac:dyDescent="0.25">
      <c r="E2441" t="str">
        <f>""</f>
        <v/>
      </c>
      <c r="F2441" t="str">
        <f>""</f>
        <v/>
      </c>
      <c r="G2441" s="4">
        <v>748.6</v>
      </c>
      <c r="H2441" t="str">
        <f t="shared" si="50"/>
        <v>BCBS PAYABLE</v>
      </c>
    </row>
    <row r="2442" spans="5:8" x14ac:dyDescent="0.25">
      <c r="E2442" t="str">
        <f>""</f>
        <v/>
      </c>
      <c r="F2442" t="str">
        <f>""</f>
        <v/>
      </c>
      <c r="G2442" s="4">
        <v>374.3</v>
      </c>
      <c r="H2442" t="str">
        <f t="shared" si="50"/>
        <v>BCBS PAYABLE</v>
      </c>
    </row>
    <row r="2443" spans="5:8" x14ac:dyDescent="0.25">
      <c r="E2443" t="str">
        <f>""</f>
        <v/>
      </c>
      <c r="F2443" t="str">
        <f>""</f>
        <v/>
      </c>
      <c r="G2443" s="4">
        <v>3743</v>
      </c>
      <c r="H2443" t="str">
        <f t="shared" si="50"/>
        <v>BCBS PAYABLE</v>
      </c>
    </row>
    <row r="2444" spans="5:8" x14ac:dyDescent="0.25">
      <c r="E2444" t="str">
        <f>""</f>
        <v/>
      </c>
      <c r="F2444" t="str">
        <f>""</f>
        <v/>
      </c>
      <c r="G2444" s="4">
        <v>1497.2</v>
      </c>
      <c r="H2444" t="str">
        <f t="shared" si="50"/>
        <v>BCBS PAYABLE</v>
      </c>
    </row>
    <row r="2445" spans="5:8" x14ac:dyDescent="0.25">
      <c r="E2445" t="str">
        <f>""</f>
        <v/>
      </c>
      <c r="F2445" t="str">
        <f>""</f>
        <v/>
      </c>
      <c r="G2445" s="4">
        <v>2994.4</v>
      </c>
      <c r="H2445" t="str">
        <f t="shared" si="50"/>
        <v>BCBS PAYABLE</v>
      </c>
    </row>
    <row r="2446" spans="5:8" x14ac:dyDescent="0.25">
      <c r="E2446" t="str">
        <f>""</f>
        <v/>
      </c>
      <c r="F2446" t="str">
        <f>""</f>
        <v/>
      </c>
      <c r="G2446" s="4">
        <v>3368.7</v>
      </c>
      <c r="H2446" t="str">
        <f t="shared" si="50"/>
        <v>BCBS PAYABLE</v>
      </c>
    </row>
    <row r="2447" spans="5:8" x14ac:dyDescent="0.25">
      <c r="E2447" t="str">
        <f>""</f>
        <v/>
      </c>
      <c r="F2447" t="str">
        <f>""</f>
        <v/>
      </c>
      <c r="G2447" s="4">
        <v>5994.41</v>
      </c>
      <c r="H2447" t="str">
        <f t="shared" si="50"/>
        <v>BCBS PAYABLE</v>
      </c>
    </row>
    <row r="2448" spans="5:8" x14ac:dyDescent="0.25">
      <c r="E2448" t="str">
        <f>""</f>
        <v/>
      </c>
      <c r="F2448" t="str">
        <f>""</f>
        <v/>
      </c>
      <c r="G2448" s="4">
        <v>374.3</v>
      </c>
      <c r="H2448" t="str">
        <f t="shared" si="50"/>
        <v>BCBS PAYABLE</v>
      </c>
    </row>
    <row r="2449" spans="5:8" x14ac:dyDescent="0.25">
      <c r="E2449" t="str">
        <f>""</f>
        <v/>
      </c>
      <c r="F2449" t="str">
        <f>""</f>
        <v/>
      </c>
      <c r="G2449" s="4">
        <v>374.3</v>
      </c>
      <c r="H2449" t="str">
        <f t="shared" si="50"/>
        <v>BCBS PAYABLE</v>
      </c>
    </row>
    <row r="2450" spans="5:8" x14ac:dyDescent="0.25">
      <c r="E2450" t="str">
        <f>""</f>
        <v/>
      </c>
      <c r="F2450" t="str">
        <f>""</f>
        <v/>
      </c>
      <c r="G2450" s="4">
        <v>20879.66</v>
      </c>
      <c r="H2450" t="str">
        <f t="shared" si="50"/>
        <v>BCBS PAYABLE</v>
      </c>
    </row>
    <row r="2451" spans="5:8" x14ac:dyDescent="0.25">
      <c r="E2451" t="str">
        <f>""</f>
        <v/>
      </c>
      <c r="F2451" t="str">
        <f>""</f>
        <v/>
      </c>
      <c r="G2451" s="4">
        <v>1111.8900000000001</v>
      </c>
      <c r="H2451" t="str">
        <f t="shared" si="50"/>
        <v>BCBS PAYABLE</v>
      </c>
    </row>
    <row r="2452" spans="5:8" x14ac:dyDescent="0.25">
      <c r="E2452" t="str">
        <f>""</f>
        <v/>
      </c>
      <c r="F2452" t="str">
        <f>""</f>
        <v/>
      </c>
      <c r="G2452" s="4">
        <v>20680.189999999999</v>
      </c>
      <c r="H2452" t="str">
        <f t="shared" si="50"/>
        <v>BCBS PAYABLE</v>
      </c>
    </row>
    <row r="2453" spans="5:8" x14ac:dyDescent="0.25">
      <c r="E2453" t="str">
        <f>""</f>
        <v/>
      </c>
      <c r="F2453" t="str">
        <f>""</f>
        <v/>
      </c>
      <c r="G2453" s="4">
        <v>5240.2</v>
      </c>
      <c r="H2453" t="str">
        <f t="shared" si="50"/>
        <v>BCBS PAYABLE</v>
      </c>
    </row>
    <row r="2454" spans="5:8" x14ac:dyDescent="0.25">
      <c r="E2454" t="str">
        <f>""</f>
        <v/>
      </c>
      <c r="F2454" t="str">
        <f>""</f>
        <v/>
      </c>
      <c r="G2454" s="4">
        <v>374.3</v>
      </c>
      <c r="H2454" t="str">
        <f t="shared" si="50"/>
        <v>BCBS PAYABLE</v>
      </c>
    </row>
    <row r="2455" spans="5:8" x14ac:dyDescent="0.25">
      <c r="E2455" t="str">
        <f>""</f>
        <v/>
      </c>
      <c r="F2455" t="str">
        <f>""</f>
        <v/>
      </c>
      <c r="G2455" s="4">
        <v>748.6</v>
      </c>
      <c r="H2455" t="str">
        <f t="shared" si="50"/>
        <v>BCBS PAYABLE</v>
      </c>
    </row>
    <row r="2456" spans="5:8" x14ac:dyDescent="0.25">
      <c r="E2456" t="str">
        <f>""</f>
        <v/>
      </c>
      <c r="F2456" t="str">
        <f>""</f>
        <v/>
      </c>
      <c r="G2456" s="4">
        <v>95.82</v>
      </c>
      <c r="H2456" t="str">
        <f t="shared" si="50"/>
        <v>BCBS PAYABLE</v>
      </c>
    </row>
    <row r="2457" spans="5:8" x14ac:dyDescent="0.25">
      <c r="E2457" t="str">
        <f>""</f>
        <v/>
      </c>
      <c r="F2457" t="str">
        <f>""</f>
        <v/>
      </c>
      <c r="G2457" s="4">
        <v>748.6</v>
      </c>
      <c r="H2457" t="str">
        <f t="shared" si="50"/>
        <v>BCBS PAYABLE</v>
      </c>
    </row>
    <row r="2458" spans="5:8" x14ac:dyDescent="0.25">
      <c r="E2458" t="str">
        <f>""</f>
        <v/>
      </c>
      <c r="F2458" t="str">
        <f>""</f>
        <v/>
      </c>
      <c r="G2458" s="4">
        <v>374.3</v>
      </c>
      <c r="H2458" t="str">
        <f t="shared" si="50"/>
        <v>BCBS PAYABLE</v>
      </c>
    </row>
    <row r="2459" spans="5:8" x14ac:dyDescent="0.25">
      <c r="E2459" t="str">
        <f>""</f>
        <v/>
      </c>
      <c r="F2459" t="str">
        <f>""</f>
        <v/>
      </c>
      <c r="G2459" s="4">
        <v>748.6</v>
      </c>
      <c r="H2459" t="str">
        <f t="shared" si="50"/>
        <v>BCBS PAYABLE</v>
      </c>
    </row>
    <row r="2460" spans="5:8" x14ac:dyDescent="0.25">
      <c r="E2460" t="str">
        <f>""</f>
        <v/>
      </c>
      <c r="F2460" t="str">
        <f>""</f>
        <v/>
      </c>
      <c r="G2460" s="4">
        <v>748.6</v>
      </c>
      <c r="H2460" t="str">
        <f t="shared" si="50"/>
        <v>BCBS PAYABLE</v>
      </c>
    </row>
    <row r="2461" spans="5:8" x14ac:dyDescent="0.25">
      <c r="E2461" t="str">
        <f>""</f>
        <v/>
      </c>
      <c r="F2461" t="str">
        <f>""</f>
        <v/>
      </c>
      <c r="G2461" s="4">
        <v>418.72</v>
      </c>
      <c r="H2461" t="str">
        <f t="shared" si="50"/>
        <v>BCBS PAYABLE</v>
      </c>
    </row>
    <row r="2462" spans="5:8" x14ac:dyDescent="0.25">
      <c r="E2462" t="str">
        <f>""</f>
        <v/>
      </c>
      <c r="F2462" t="str">
        <f>""</f>
        <v/>
      </c>
      <c r="G2462" s="4">
        <v>3460.88</v>
      </c>
      <c r="H2462" t="str">
        <f t="shared" si="50"/>
        <v>BCBS PAYABLE</v>
      </c>
    </row>
    <row r="2463" spans="5:8" x14ac:dyDescent="0.25">
      <c r="E2463" t="str">
        <f>""</f>
        <v/>
      </c>
      <c r="F2463" t="str">
        <f>""</f>
        <v/>
      </c>
      <c r="G2463" s="4">
        <v>2175.1799999999998</v>
      </c>
      <c r="H2463" t="str">
        <f t="shared" si="50"/>
        <v>BCBS PAYABLE</v>
      </c>
    </row>
    <row r="2464" spans="5:8" x14ac:dyDescent="0.25">
      <c r="E2464" t="str">
        <f>""</f>
        <v/>
      </c>
      <c r="F2464" t="str">
        <f>""</f>
        <v/>
      </c>
      <c r="G2464" s="4">
        <v>4795.28</v>
      </c>
      <c r="H2464" t="str">
        <f t="shared" si="50"/>
        <v>BCBS PAYABLE</v>
      </c>
    </row>
    <row r="2465" spans="5:8" x14ac:dyDescent="0.25">
      <c r="E2465" t="str">
        <f>""</f>
        <v/>
      </c>
      <c r="F2465" t="str">
        <f>""</f>
        <v/>
      </c>
      <c r="G2465" s="4">
        <v>4046.65</v>
      </c>
      <c r="H2465" t="str">
        <f t="shared" si="50"/>
        <v>BCBS PAYABLE</v>
      </c>
    </row>
    <row r="2466" spans="5:8" x14ac:dyDescent="0.25">
      <c r="E2466" t="str">
        <f>""</f>
        <v/>
      </c>
      <c r="F2466" t="str">
        <f>""</f>
        <v/>
      </c>
      <c r="G2466" s="4">
        <v>652.78</v>
      </c>
      <c r="H2466" t="str">
        <f t="shared" si="50"/>
        <v>BCBS PAYABLE</v>
      </c>
    </row>
    <row r="2467" spans="5:8" x14ac:dyDescent="0.25">
      <c r="E2467" t="str">
        <f>""</f>
        <v/>
      </c>
      <c r="F2467" t="str">
        <f>""</f>
        <v/>
      </c>
      <c r="G2467" s="4">
        <v>9.7200000000000006</v>
      </c>
      <c r="H2467" t="str">
        <f t="shared" si="50"/>
        <v>BCBS PAYABLE</v>
      </c>
    </row>
    <row r="2468" spans="5:8" x14ac:dyDescent="0.25">
      <c r="E2468" t="str">
        <f>""</f>
        <v/>
      </c>
      <c r="F2468" t="str">
        <f>""</f>
        <v/>
      </c>
      <c r="G2468" s="4">
        <v>13.75</v>
      </c>
      <c r="H2468" t="str">
        <f t="shared" si="50"/>
        <v>BCBS PAYABLE</v>
      </c>
    </row>
    <row r="2469" spans="5:8" x14ac:dyDescent="0.25">
      <c r="E2469" t="str">
        <f>""</f>
        <v/>
      </c>
      <c r="F2469" t="str">
        <f>""</f>
        <v/>
      </c>
      <c r="G2469" s="4">
        <v>372.76</v>
      </c>
      <c r="H2469" t="str">
        <f t="shared" si="50"/>
        <v>BCBS PAYABLE</v>
      </c>
    </row>
    <row r="2470" spans="5:8" x14ac:dyDescent="0.25">
      <c r="E2470" t="str">
        <f>"2EO202112177864"</f>
        <v>2EO202112177864</v>
      </c>
      <c r="F2470" t="str">
        <f>"BCBS PAYABLE"</f>
        <v>BCBS PAYABLE</v>
      </c>
      <c r="G2470" s="4">
        <v>3368.7</v>
      </c>
      <c r="H2470" t="str">
        <f t="shared" si="50"/>
        <v>BCBS PAYABLE</v>
      </c>
    </row>
    <row r="2471" spans="5:8" x14ac:dyDescent="0.25">
      <c r="E2471" t="str">
        <f>"2ES202112077701"</f>
        <v>2ES202112077701</v>
      </c>
      <c r="F2471" t="str">
        <f>"BCBS PAYABLE"</f>
        <v>BCBS PAYABLE</v>
      </c>
      <c r="G2471" s="4">
        <v>374.3</v>
      </c>
      <c r="H2471" t="str">
        <f t="shared" si="50"/>
        <v>BCBS PAYABLE</v>
      </c>
    </row>
    <row r="2472" spans="5:8" x14ac:dyDescent="0.25">
      <c r="E2472" t="str">
        <f>""</f>
        <v/>
      </c>
      <c r="F2472" t="str">
        <f>""</f>
        <v/>
      </c>
      <c r="G2472" s="4">
        <v>374.3</v>
      </c>
      <c r="H2472" t="str">
        <f t="shared" si="50"/>
        <v>BCBS PAYABLE</v>
      </c>
    </row>
    <row r="2473" spans="5:8" x14ac:dyDescent="0.25">
      <c r="E2473" t="str">
        <f>""</f>
        <v/>
      </c>
      <c r="F2473" t="str">
        <f>""</f>
        <v/>
      </c>
      <c r="G2473" s="4">
        <v>748.6</v>
      </c>
      <c r="H2473" t="str">
        <f t="shared" si="50"/>
        <v>BCBS PAYABLE</v>
      </c>
    </row>
    <row r="2474" spans="5:8" x14ac:dyDescent="0.25">
      <c r="E2474" t="str">
        <f>""</f>
        <v/>
      </c>
      <c r="F2474" t="str">
        <f>""</f>
        <v/>
      </c>
      <c r="G2474" s="4">
        <v>374.3</v>
      </c>
      <c r="H2474" t="str">
        <f t="shared" si="50"/>
        <v>BCBS PAYABLE</v>
      </c>
    </row>
    <row r="2475" spans="5:8" x14ac:dyDescent="0.25">
      <c r="E2475" t="str">
        <f>""</f>
        <v/>
      </c>
      <c r="F2475" t="str">
        <f>""</f>
        <v/>
      </c>
      <c r="G2475" s="4">
        <v>374.3</v>
      </c>
      <c r="H2475" t="str">
        <f t="shared" si="50"/>
        <v>BCBS PAYABLE</v>
      </c>
    </row>
    <row r="2476" spans="5:8" x14ac:dyDescent="0.25">
      <c r="E2476" t="str">
        <f>""</f>
        <v/>
      </c>
      <c r="F2476" t="str">
        <f>""</f>
        <v/>
      </c>
      <c r="G2476" s="4">
        <v>374.3</v>
      </c>
      <c r="H2476" t="str">
        <f t="shared" si="50"/>
        <v>BCBS PAYABLE</v>
      </c>
    </row>
    <row r="2477" spans="5:8" x14ac:dyDescent="0.25">
      <c r="E2477" t="str">
        <f>""</f>
        <v/>
      </c>
      <c r="F2477" t="str">
        <f>""</f>
        <v/>
      </c>
      <c r="G2477" s="4">
        <v>374.3</v>
      </c>
      <c r="H2477" t="str">
        <f t="shared" si="50"/>
        <v>BCBS PAYABLE</v>
      </c>
    </row>
    <row r="2478" spans="5:8" x14ac:dyDescent="0.25">
      <c r="E2478" t="str">
        <f>""</f>
        <v/>
      </c>
      <c r="F2478" t="str">
        <f>""</f>
        <v/>
      </c>
      <c r="G2478" s="4">
        <v>374.3</v>
      </c>
      <c r="H2478" t="str">
        <f t="shared" si="50"/>
        <v>BCBS PAYABLE</v>
      </c>
    </row>
    <row r="2479" spans="5:8" x14ac:dyDescent="0.25">
      <c r="E2479" t="str">
        <f>""</f>
        <v/>
      </c>
      <c r="F2479" t="str">
        <f>""</f>
        <v/>
      </c>
      <c r="G2479" s="4">
        <v>374.3</v>
      </c>
      <c r="H2479" t="str">
        <f t="shared" si="50"/>
        <v>BCBS PAYABLE</v>
      </c>
    </row>
    <row r="2480" spans="5:8" x14ac:dyDescent="0.25">
      <c r="E2480" t="str">
        <f>""</f>
        <v/>
      </c>
      <c r="F2480" t="str">
        <f>""</f>
        <v/>
      </c>
      <c r="G2480" s="4">
        <v>374.3</v>
      </c>
      <c r="H2480" t="str">
        <f t="shared" si="50"/>
        <v>BCBS PAYABLE</v>
      </c>
    </row>
    <row r="2481" spans="5:8" x14ac:dyDescent="0.25">
      <c r="E2481" t="str">
        <f>""</f>
        <v/>
      </c>
      <c r="F2481" t="str">
        <f>""</f>
        <v/>
      </c>
      <c r="G2481" s="4">
        <v>374.3</v>
      </c>
      <c r="H2481" t="str">
        <f t="shared" si="50"/>
        <v>BCBS PAYABLE</v>
      </c>
    </row>
    <row r="2482" spans="5:8" x14ac:dyDescent="0.25">
      <c r="E2482" t="str">
        <f>""</f>
        <v/>
      </c>
      <c r="F2482" t="str">
        <f>""</f>
        <v/>
      </c>
      <c r="G2482" s="4">
        <v>748.6</v>
      </c>
      <c r="H2482" t="str">
        <f t="shared" si="50"/>
        <v>BCBS PAYABLE</v>
      </c>
    </row>
    <row r="2483" spans="5:8" x14ac:dyDescent="0.25">
      <c r="E2483" t="str">
        <f>""</f>
        <v/>
      </c>
      <c r="F2483" t="str">
        <f>""</f>
        <v/>
      </c>
      <c r="G2483" s="4">
        <v>3771.4</v>
      </c>
      <c r="H2483" t="str">
        <f t="shared" si="50"/>
        <v>BCBS PAYABLE</v>
      </c>
    </row>
    <row r="2484" spans="5:8" x14ac:dyDescent="0.25">
      <c r="E2484" t="str">
        <f>""</f>
        <v/>
      </c>
      <c r="F2484" t="str">
        <f>""</f>
        <v/>
      </c>
      <c r="G2484" s="4">
        <v>2217.4</v>
      </c>
      <c r="H2484" t="str">
        <f t="shared" si="50"/>
        <v>BCBS PAYABLE</v>
      </c>
    </row>
    <row r="2485" spans="5:8" x14ac:dyDescent="0.25">
      <c r="E2485" t="str">
        <f>""</f>
        <v/>
      </c>
      <c r="F2485" t="str">
        <f>""</f>
        <v/>
      </c>
      <c r="G2485" s="4">
        <v>374.3</v>
      </c>
      <c r="H2485" t="str">
        <f t="shared" si="50"/>
        <v>BCBS PAYABLE</v>
      </c>
    </row>
    <row r="2486" spans="5:8" x14ac:dyDescent="0.25">
      <c r="E2486" t="str">
        <f>""</f>
        <v/>
      </c>
      <c r="F2486" t="str">
        <f>""</f>
        <v/>
      </c>
      <c r="G2486" s="4">
        <v>374.3</v>
      </c>
      <c r="H2486" t="str">
        <f t="shared" si="50"/>
        <v>BCBS PAYABLE</v>
      </c>
    </row>
    <row r="2487" spans="5:8" x14ac:dyDescent="0.25">
      <c r="E2487" t="str">
        <f>""</f>
        <v/>
      </c>
      <c r="F2487" t="str">
        <f>""</f>
        <v/>
      </c>
      <c r="G2487" s="4">
        <v>748.6</v>
      </c>
      <c r="H2487" t="str">
        <f t="shared" si="50"/>
        <v>BCBS PAYABLE</v>
      </c>
    </row>
    <row r="2488" spans="5:8" x14ac:dyDescent="0.25">
      <c r="E2488" t="str">
        <f>""</f>
        <v/>
      </c>
      <c r="F2488" t="str">
        <f>""</f>
        <v/>
      </c>
      <c r="G2488" s="4">
        <v>374.3</v>
      </c>
      <c r="H2488" t="str">
        <f t="shared" si="50"/>
        <v>BCBS PAYABLE</v>
      </c>
    </row>
    <row r="2489" spans="5:8" x14ac:dyDescent="0.25">
      <c r="E2489" t="str">
        <f>""</f>
        <v/>
      </c>
      <c r="F2489" t="str">
        <f>""</f>
        <v/>
      </c>
      <c r="G2489" s="4">
        <v>374.3</v>
      </c>
      <c r="H2489" t="str">
        <f t="shared" si="50"/>
        <v>BCBS PAYABLE</v>
      </c>
    </row>
    <row r="2490" spans="5:8" x14ac:dyDescent="0.25">
      <c r="E2490" t="str">
        <f>""</f>
        <v/>
      </c>
      <c r="F2490" t="str">
        <f>""</f>
        <v/>
      </c>
      <c r="G2490" s="4">
        <v>748.6</v>
      </c>
      <c r="H2490" t="str">
        <f t="shared" si="50"/>
        <v>BCBS PAYABLE</v>
      </c>
    </row>
    <row r="2491" spans="5:8" x14ac:dyDescent="0.25">
      <c r="E2491" t="str">
        <f>""</f>
        <v/>
      </c>
      <c r="F2491" t="str">
        <f>""</f>
        <v/>
      </c>
      <c r="G2491" s="4">
        <v>8396.86</v>
      </c>
      <c r="H2491" t="str">
        <f t="shared" ref="H2491:H2516" si="51">"BCBS PAYABLE"</f>
        <v>BCBS PAYABLE</v>
      </c>
    </row>
    <row r="2492" spans="5:8" x14ac:dyDescent="0.25">
      <c r="E2492" t="str">
        <f>"2ES202112077702"</f>
        <v>2ES202112077702</v>
      </c>
      <c r="F2492" t="str">
        <f>"BCBS PAYABLE"</f>
        <v>BCBS PAYABLE</v>
      </c>
      <c r="G2492" s="4">
        <v>374.3</v>
      </c>
      <c r="H2492" t="str">
        <f t="shared" si="51"/>
        <v>BCBS PAYABLE</v>
      </c>
    </row>
    <row r="2493" spans="5:8" x14ac:dyDescent="0.25">
      <c r="E2493" t="str">
        <f>""</f>
        <v/>
      </c>
      <c r="F2493" t="str">
        <f>""</f>
        <v/>
      </c>
      <c r="G2493" s="4">
        <v>220.97</v>
      </c>
      <c r="H2493" t="str">
        <f t="shared" si="51"/>
        <v>BCBS PAYABLE</v>
      </c>
    </row>
    <row r="2494" spans="5:8" x14ac:dyDescent="0.25">
      <c r="E2494" t="str">
        <f>"2ES202112177863"</f>
        <v>2ES202112177863</v>
      </c>
      <c r="F2494" t="str">
        <f>"BCBS PAYABLE"</f>
        <v>BCBS PAYABLE</v>
      </c>
      <c r="G2494" s="4">
        <v>374.3</v>
      </c>
      <c r="H2494" t="str">
        <f t="shared" si="51"/>
        <v>BCBS PAYABLE</v>
      </c>
    </row>
    <row r="2495" spans="5:8" x14ac:dyDescent="0.25">
      <c r="E2495" t="str">
        <f>""</f>
        <v/>
      </c>
      <c r="F2495" t="str">
        <f>""</f>
        <v/>
      </c>
      <c r="G2495" s="4">
        <v>374.3</v>
      </c>
      <c r="H2495" t="str">
        <f t="shared" si="51"/>
        <v>BCBS PAYABLE</v>
      </c>
    </row>
    <row r="2496" spans="5:8" x14ac:dyDescent="0.25">
      <c r="E2496" t="str">
        <f>""</f>
        <v/>
      </c>
      <c r="F2496" t="str">
        <f>""</f>
        <v/>
      </c>
      <c r="G2496" s="4">
        <v>748.6</v>
      </c>
      <c r="H2496" t="str">
        <f t="shared" si="51"/>
        <v>BCBS PAYABLE</v>
      </c>
    </row>
    <row r="2497" spans="5:8" x14ac:dyDescent="0.25">
      <c r="E2497" t="str">
        <f>""</f>
        <v/>
      </c>
      <c r="F2497" t="str">
        <f>""</f>
        <v/>
      </c>
      <c r="G2497" s="4">
        <v>374.3</v>
      </c>
      <c r="H2497" t="str">
        <f t="shared" si="51"/>
        <v>BCBS PAYABLE</v>
      </c>
    </row>
    <row r="2498" spans="5:8" x14ac:dyDescent="0.25">
      <c r="E2498" t="str">
        <f>""</f>
        <v/>
      </c>
      <c r="F2498" t="str">
        <f>""</f>
        <v/>
      </c>
      <c r="G2498" s="4">
        <v>374.3</v>
      </c>
      <c r="H2498" t="str">
        <f t="shared" si="51"/>
        <v>BCBS PAYABLE</v>
      </c>
    </row>
    <row r="2499" spans="5:8" x14ac:dyDescent="0.25">
      <c r="E2499" t="str">
        <f>""</f>
        <v/>
      </c>
      <c r="F2499" t="str">
        <f>""</f>
        <v/>
      </c>
      <c r="G2499" s="4">
        <v>374.3</v>
      </c>
      <c r="H2499" t="str">
        <f t="shared" si="51"/>
        <v>BCBS PAYABLE</v>
      </c>
    </row>
    <row r="2500" spans="5:8" x14ac:dyDescent="0.25">
      <c r="E2500" t="str">
        <f>""</f>
        <v/>
      </c>
      <c r="F2500" t="str">
        <f>""</f>
        <v/>
      </c>
      <c r="G2500" s="4">
        <v>374.3</v>
      </c>
      <c r="H2500" t="str">
        <f t="shared" si="51"/>
        <v>BCBS PAYABLE</v>
      </c>
    </row>
    <row r="2501" spans="5:8" x14ac:dyDescent="0.25">
      <c r="E2501" t="str">
        <f>""</f>
        <v/>
      </c>
      <c r="F2501" t="str">
        <f>""</f>
        <v/>
      </c>
      <c r="G2501" s="4">
        <v>374.3</v>
      </c>
      <c r="H2501" t="str">
        <f t="shared" si="51"/>
        <v>BCBS PAYABLE</v>
      </c>
    </row>
    <row r="2502" spans="5:8" x14ac:dyDescent="0.25">
      <c r="E2502" t="str">
        <f>""</f>
        <v/>
      </c>
      <c r="F2502" t="str">
        <f>""</f>
        <v/>
      </c>
      <c r="G2502" s="4">
        <v>374.3</v>
      </c>
      <c r="H2502" t="str">
        <f t="shared" si="51"/>
        <v>BCBS PAYABLE</v>
      </c>
    </row>
    <row r="2503" spans="5:8" x14ac:dyDescent="0.25">
      <c r="E2503" t="str">
        <f>""</f>
        <v/>
      </c>
      <c r="F2503" t="str">
        <f>""</f>
        <v/>
      </c>
      <c r="G2503" s="4">
        <v>374.3</v>
      </c>
      <c r="H2503" t="str">
        <f t="shared" si="51"/>
        <v>BCBS PAYABLE</v>
      </c>
    </row>
    <row r="2504" spans="5:8" x14ac:dyDescent="0.25">
      <c r="E2504" t="str">
        <f>""</f>
        <v/>
      </c>
      <c r="F2504" t="str">
        <f>""</f>
        <v/>
      </c>
      <c r="G2504" s="4">
        <v>374.3</v>
      </c>
      <c r="H2504" t="str">
        <f t="shared" si="51"/>
        <v>BCBS PAYABLE</v>
      </c>
    </row>
    <row r="2505" spans="5:8" x14ac:dyDescent="0.25">
      <c r="E2505" t="str">
        <f>""</f>
        <v/>
      </c>
      <c r="F2505" t="str">
        <f>""</f>
        <v/>
      </c>
      <c r="G2505" s="4">
        <v>748.6</v>
      </c>
      <c r="H2505" t="str">
        <f t="shared" si="51"/>
        <v>BCBS PAYABLE</v>
      </c>
    </row>
    <row r="2506" spans="5:8" x14ac:dyDescent="0.25">
      <c r="E2506" t="str">
        <f>""</f>
        <v/>
      </c>
      <c r="F2506" t="str">
        <f>""</f>
        <v/>
      </c>
      <c r="G2506" s="4">
        <v>3771.48</v>
      </c>
      <c r="H2506" t="str">
        <f t="shared" si="51"/>
        <v>BCBS PAYABLE</v>
      </c>
    </row>
    <row r="2507" spans="5:8" x14ac:dyDescent="0.25">
      <c r="E2507" t="str">
        <f>""</f>
        <v/>
      </c>
      <c r="F2507" t="str">
        <f>""</f>
        <v/>
      </c>
      <c r="G2507" s="4">
        <v>2217.3200000000002</v>
      </c>
      <c r="H2507" t="str">
        <f t="shared" si="51"/>
        <v>BCBS PAYABLE</v>
      </c>
    </row>
    <row r="2508" spans="5:8" x14ac:dyDescent="0.25">
      <c r="E2508" t="str">
        <f>""</f>
        <v/>
      </c>
      <c r="F2508" t="str">
        <f>""</f>
        <v/>
      </c>
      <c r="G2508" s="4">
        <v>374.3</v>
      </c>
      <c r="H2508" t="str">
        <f t="shared" si="51"/>
        <v>BCBS PAYABLE</v>
      </c>
    </row>
    <row r="2509" spans="5:8" x14ac:dyDescent="0.25">
      <c r="E2509" t="str">
        <f>""</f>
        <v/>
      </c>
      <c r="F2509" t="str">
        <f>""</f>
        <v/>
      </c>
      <c r="G2509" s="4">
        <v>374.3</v>
      </c>
      <c r="H2509" t="str">
        <f t="shared" si="51"/>
        <v>BCBS PAYABLE</v>
      </c>
    </row>
    <row r="2510" spans="5:8" x14ac:dyDescent="0.25">
      <c r="E2510" t="str">
        <f>""</f>
        <v/>
      </c>
      <c r="F2510" t="str">
        <f>""</f>
        <v/>
      </c>
      <c r="G2510" s="4">
        <v>748.6</v>
      </c>
      <c r="H2510" t="str">
        <f t="shared" si="51"/>
        <v>BCBS PAYABLE</v>
      </c>
    </row>
    <row r="2511" spans="5:8" x14ac:dyDescent="0.25">
      <c r="E2511" t="str">
        <f>""</f>
        <v/>
      </c>
      <c r="F2511" t="str">
        <f>""</f>
        <v/>
      </c>
      <c r="G2511" s="4">
        <v>374.3</v>
      </c>
      <c r="H2511" t="str">
        <f t="shared" si="51"/>
        <v>BCBS PAYABLE</v>
      </c>
    </row>
    <row r="2512" spans="5:8" x14ac:dyDescent="0.25">
      <c r="E2512" t="str">
        <f>""</f>
        <v/>
      </c>
      <c r="F2512" t="str">
        <f>""</f>
        <v/>
      </c>
      <c r="G2512" s="4">
        <v>374.3</v>
      </c>
      <c r="H2512" t="str">
        <f t="shared" si="51"/>
        <v>BCBS PAYABLE</v>
      </c>
    </row>
    <row r="2513" spans="1:8" x14ac:dyDescent="0.25">
      <c r="E2513" t="str">
        <f>""</f>
        <v/>
      </c>
      <c r="F2513" t="str">
        <f>""</f>
        <v/>
      </c>
      <c r="G2513" s="4">
        <v>748.6</v>
      </c>
      <c r="H2513" t="str">
        <f t="shared" si="51"/>
        <v>BCBS PAYABLE</v>
      </c>
    </row>
    <row r="2514" spans="1:8" x14ac:dyDescent="0.25">
      <c r="E2514" t="str">
        <f>""</f>
        <v/>
      </c>
      <c r="F2514" t="str">
        <f>""</f>
        <v/>
      </c>
      <c r="G2514" s="4">
        <v>8396.86</v>
      </c>
      <c r="H2514" t="str">
        <f t="shared" si="51"/>
        <v>BCBS PAYABLE</v>
      </c>
    </row>
    <row r="2515" spans="1:8" x14ac:dyDescent="0.25">
      <c r="E2515" t="str">
        <f>"2ES202112177864"</f>
        <v>2ES202112177864</v>
      </c>
      <c r="F2515" t="str">
        <f>"BCBS PAYABLE"</f>
        <v>BCBS PAYABLE</v>
      </c>
      <c r="G2515" s="4">
        <v>374.3</v>
      </c>
      <c r="H2515" t="str">
        <f t="shared" si="51"/>
        <v>BCBS PAYABLE</v>
      </c>
    </row>
    <row r="2516" spans="1:8" x14ac:dyDescent="0.25">
      <c r="E2516" t="str">
        <f>""</f>
        <v/>
      </c>
      <c r="F2516" t="str">
        <f>""</f>
        <v/>
      </c>
      <c r="G2516" s="4">
        <v>220.97</v>
      </c>
      <c r="H2516" t="str">
        <f t="shared" si="51"/>
        <v>BCBS PAYABLE</v>
      </c>
    </row>
    <row r="2517" spans="1:8" x14ac:dyDescent="0.25">
      <c r="A2517" t="s">
        <v>428</v>
      </c>
      <c r="B2517">
        <v>1482</v>
      </c>
      <c r="C2517" s="4">
        <v>7129.34</v>
      </c>
      <c r="D2517" s="1">
        <v>44540</v>
      </c>
      <c r="E2517" t="str">
        <f>"CPI202112077701"</f>
        <v>CPI202112077701</v>
      </c>
      <c r="F2517" t="str">
        <f>"DEFERRED COMP 457B PAYABLE"</f>
        <v>DEFERRED COMP 457B PAYABLE</v>
      </c>
      <c r="G2517" s="4">
        <v>5264.77</v>
      </c>
      <c r="H2517" t="str">
        <f>"DEFERRED COMP 457B PAYABLE"</f>
        <v>DEFERRED COMP 457B PAYABLE</v>
      </c>
    </row>
    <row r="2518" spans="1:8" x14ac:dyDescent="0.25">
      <c r="E2518" t="str">
        <f>"CPI202112077702"</f>
        <v>CPI202112077702</v>
      </c>
      <c r="F2518" t="str">
        <f>"DEFERRED COMP 457B PAYABLE"</f>
        <v>DEFERRED COMP 457B PAYABLE</v>
      </c>
      <c r="G2518" s="4">
        <v>120</v>
      </c>
      <c r="H2518" t="str">
        <f>"DEFERRED COMP 457B PAYABLE"</f>
        <v>DEFERRED COMP 457B PAYABLE</v>
      </c>
    </row>
    <row r="2519" spans="1:8" x14ac:dyDescent="0.25">
      <c r="E2519" t="str">
        <f>"CPL202112077701"</f>
        <v>CPL202112077701</v>
      </c>
      <c r="F2519" t="str">
        <f>"LOAN ON DEFERRED COMP"</f>
        <v>LOAN ON DEFERRED COMP</v>
      </c>
      <c r="G2519" s="4">
        <v>1744.57</v>
      </c>
      <c r="H2519" t="str">
        <f>"LOAN ON DEFERRED COMP"</f>
        <v>LOAN ON DEFERRED COMP</v>
      </c>
    </row>
    <row r="2520" spans="1:8" x14ac:dyDescent="0.25">
      <c r="A2520" t="s">
        <v>428</v>
      </c>
      <c r="B2520">
        <v>1525</v>
      </c>
      <c r="C2520" s="4">
        <v>7129.34</v>
      </c>
      <c r="D2520" s="1">
        <v>44552</v>
      </c>
      <c r="E2520" t="str">
        <f>"CPI202112177863"</f>
        <v>CPI202112177863</v>
      </c>
      <c r="F2520" t="str">
        <f>"DEFERRED COMP 457B PAYABLE"</f>
        <v>DEFERRED COMP 457B PAYABLE</v>
      </c>
      <c r="G2520" s="4">
        <v>5264.77</v>
      </c>
      <c r="H2520" t="str">
        <f>"DEFERRED COMP 457B PAYABLE"</f>
        <v>DEFERRED COMP 457B PAYABLE</v>
      </c>
    </row>
    <row r="2521" spans="1:8" x14ac:dyDescent="0.25">
      <c r="E2521" t="str">
        <f>"CPI202112177864"</f>
        <v>CPI202112177864</v>
      </c>
      <c r="F2521" t="str">
        <f>"DEFERRED COMP 457B PAYABLE"</f>
        <v>DEFERRED COMP 457B PAYABLE</v>
      </c>
      <c r="G2521" s="4">
        <v>120</v>
      </c>
      <c r="H2521" t="str">
        <f>"DEFERRED COMP 457B PAYABLE"</f>
        <v>DEFERRED COMP 457B PAYABLE</v>
      </c>
    </row>
    <row r="2522" spans="1:8" x14ac:dyDescent="0.25">
      <c r="E2522" t="str">
        <f>"CPL202112177863"</f>
        <v>CPL202112177863</v>
      </c>
      <c r="F2522" t="str">
        <f>"LOAN ON DEFERRED COMP"</f>
        <v>LOAN ON DEFERRED COMP</v>
      </c>
      <c r="G2522" s="4">
        <v>1744.57</v>
      </c>
      <c r="H2522" t="str">
        <f>"LOAN ON DEFERRED COMP"</f>
        <v>LOAN ON DEFERRED COMP</v>
      </c>
    </row>
    <row r="2523" spans="1:8" x14ac:dyDescent="0.25">
      <c r="A2523" t="s">
        <v>429</v>
      </c>
      <c r="B2523">
        <v>1481</v>
      </c>
      <c r="C2523" s="4">
        <v>5154.97</v>
      </c>
      <c r="D2523" s="1">
        <v>44540</v>
      </c>
      <c r="E2523" t="str">
        <f>"C1 202112077701"</f>
        <v>C1 202112077701</v>
      </c>
      <c r="F2523" t="str">
        <f>"0014064250D1FM190075"</f>
        <v>0014064250D1FM190075</v>
      </c>
      <c r="G2523" s="4">
        <v>468.6</v>
      </c>
      <c r="H2523" t="str">
        <f>"0014064250D1FM190075"</f>
        <v>0014064250D1FM190075</v>
      </c>
    </row>
    <row r="2524" spans="1:8" x14ac:dyDescent="0.25">
      <c r="E2524" t="str">
        <f>"C2 202112077702"</f>
        <v>C2 202112077702</v>
      </c>
      <c r="F2524" t="str">
        <f>"0012982132CCL7445"</f>
        <v>0012982132CCL7445</v>
      </c>
      <c r="G2524" s="4">
        <v>692.31</v>
      </c>
      <c r="H2524" t="str">
        <f>"0012982132CCL7445"</f>
        <v>0012982132CCL7445</v>
      </c>
    </row>
    <row r="2525" spans="1:8" x14ac:dyDescent="0.25">
      <c r="E2525" t="str">
        <f>"C20202112077701"</f>
        <v>C20202112077701</v>
      </c>
      <c r="F2525" t="str">
        <f>"001003981107-12252"</f>
        <v>001003981107-12252</v>
      </c>
      <c r="G2525" s="4">
        <v>115.39</v>
      </c>
      <c r="H2525" t="str">
        <f>"001003981107-12252"</f>
        <v>001003981107-12252</v>
      </c>
    </row>
    <row r="2526" spans="1:8" x14ac:dyDescent="0.25">
      <c r="E2526" t="str">
        <f>"C42202112077701"</f>
        <v>C42202112077701</v>
      </c>
      <c r="F2526" t="str">
        <f>"001236769211-14410"</f>
        <v>001236769211-14410</v>
      </c>
      <c r="G2526" s="4">
        <v>230.31</v>
      </c>
      <c r="H2526" t="str">
        <f>"001236769211-14410"</f>
        <v>001236769211-14410</v>
      </c>
    </row>
    <row r="2527" spans="1:8" x14ac:dyDescent="0.25">
      <c r="E2527" t="str">
        <f>"C46202112077701"</f>
        <v>C46202112077701</v>
      </c>
      <c r="F2527" t="str">
        <f>"CAUSE# 11-14911"</f>
        <v>CAUSE# 11-14911</v>
      </c>
      <c r="G2527" s="4">
        <v>238.62</v>
      </c>
      <c r="H2527" t="str">
        <f>"CAUSE# 11-14911"</f>
        <v>CAUSE# 11-14911</v>
      </c>
    </row>
    <row r="2528" spans="1:8" x14ac:dyDescent="0.25">
      <c r="E2528" t="str">
        <f>"C60202112077701"</f>
        <v>C60202112077701</v>
      </c>
      <c r="F2528" t="str">
        <f>"00130730762012V300"</f>
        <v>00130730762012V300</v>
      </c>
      <c r="G2528" s="4">
        <v>399.32</v>
      </c>
      <c r="H2528" t="str">
        <f>"00130730762012V300"</f>
        <v>00130730762012V300</v>
      </c>
    </row>
    <row r="2529" spans="1:8" x14ac:dyDescent="0.25">
      <c r="E2529" t="str">
        <f>"C62202112077701"</f>
        <v>C62202112077701</v>
      </c>
      <c r="F2529" t="str">
        <f>"# 0012128865"</f>
        <v># 0012128865</v>
      </c>
      <c r="G2529" s="4">
        <v>243.23</v>
      </c>
      <c r="H2529" t="str">
        <f>"# 0012128865"</f>
        <v># 0012128865</v>
      </c>
    </row>
    <row r="2530" spans="1:8" x14ac:dyDescent="0.25">
      <c r="E2530" t="str">
        <f>"C66202112077701"</f>
        <v>C66202112077701</v>
      </c>
      <c r="F2530" t="str">
        <f>"# 0012871801"</f>
        <v># 0012871801</v>
      </c>
      <c r="G2530" s="4">
        <v>90</v>
      </c>
      <c r="H2530" t="str">
        <f>"# 0012871801"</f>
        <v># 0012871801</v>
      </c>
    </row>
    <row r="2531" spans="1:8" x14ac:dyDescent="0.25">
      <c r="E2531" t="str">
        <f>"C67202112077701"</f>
        <v>C67202112077701</v>
      </c>
      <c r="F2531" t="str">
        <f>"13154657"</f>
        <v>13154657</v>
      </c>
      <c r="G2531" s="4">
        <v>101.99</v>
      </c>
      <c r="H2531" t="str">
        <f>"13154657"</f>
        <v>13154657</v>
      </c>
    </row>
    <row r="2532" spans="1:8" x14ac:dyDescent="0.25">
      <c r="E2532" t="str">
        <f>"C69202112077701"</f>
        <v>C69202112077701</v>
      </c>
      <c r="F2532" t="str">
        <f>"0012046911423672"</f>
        <v>0012046911423672</v>
      </c>
      <c r="G2532" s="4">
        <v>138.91999999999999</v>
      </c>
      <c r="H2532" t="str">
        <f>"0012046911423672"</f>
        <v>0012046911423672</v>
      </c>
    </row>
    <row r="2533" spans="1:8" x14ac:dyDescent="0.25">
      <c r="E2533" t="str">
        <f>"C72202112077701"</f>
        <v>C72202112077701</v>
      </c>
      <c r="F2533" t="str">
        <f>"0012797601C20130529B"</f>
        <v>0012797601C20130529B</v>
      </c>
      <c r="G2533" s="4">
        <v>241.85</v>
      </c>
      <c r="H2533" t="str">
        <f>"0012797601C20130529B"</f>
        <v>0012797601C20130529B</v>
      </c>
    </row>
    <row r="2534" spans="1:8" x14ac:dyDescent="0.25">
      <c r="E2534" t="str">
        <f>"C78202112077701"</f>
        <v>C78202112077701</v>
      </c>
      <c r="F2534" t="str">
        <f>"00105115972005106221"</f>
        <v>00105115972005106221</v>
      </c>
      <c r="G2534" s="4">
        <v>245.08</v>
      </c>
      <c r="H2534" t="str">
        <f>"00105115972005106221"</f>
        <v>00105115972005106221</v>
      </c>
    </row>
    <row r="2535" spans="1:8" x14ac:dyDescent="0.25">
      <c r="E2535" t="str">
        <f>"C85202112077701"</f>
        <v>C85202112077701</v>
      </c>
      <c r="F2535" t="str">
        <f>"0012469425201770874"</f>
        <v>0012469425201770874</v>
      </c>
      <c r="G2535" s="4">
        <v>138.46</v>
      </c>
      <c r="H2535" t="str">
        <f>"0012469425201770874"</f>
        <v>0012469425201770874</v>
      </c>
    </row>
    <row r="2536" spans="1:8" x14ac:dyDescent="0.25">
      <c r="E2536" t="str">
        <f>"C86202112077701"</f>
        <v>C86202112077701</v>
      </c>
      <c r="F2536" t="str">
        <f>"0013854015101285F"</f>
        <v>0013854015101285F</v>
      </c>
      <c r="G2536" s="4">
        <v>241.85</v>
      </c>
      <c r="H2536" t="str">
        <f>"0013854015101285F"</f>
        <v>0013854015101285F</v>
      </c>
    </row>
    <row r="2537" spans="1:8" x14ac:dyDescent="0.25">
      <c r="E2537" t="str">
        <f>"C87202112077701"</f>
        <v>C87202112077701</v>
      </c>
      <c r="F2537" t="str">
        <f>"0012963634L130019CVB"</f>
        <v>0012963634L130019CVB</v>
      </c>
      <c r="G2537" s="4">
        <v>249.23</v>
      </c>
      <c r="H2537" t="str">
        <f>"0012963634L130019CVB"</f>
        <v>0012963634L130019CVB</v>
      </c>
    </row>
    <row r="2538" spans="1:8" x14ac:dyDescent="0.25">
      <c r="E2538" t="str">
        <f>"C89202112077701"</f>
        <v>C89202112077701</v>
      </c>
      <c r="F2538" t="str">
        <f>"00127760434232477"</f>
        <v>00127760434232477</v>
      </c>
      <c r="G2538" s="4">
        <v>129.69</v>
      </c>
      <c r="H2538" t="str">
        <f>"00127760434232477"</f>
        <v>00127760434232477</v>
      </c>
    </row>
    <row r="2539" spans="1:8" x14ac:dyDescent="0.25">
      <c r="E2539" t="str">
        <f>"C94202112077701"</f>
        <v>C94202112077701</v>
      </c>
      <c r="F2539" t="str">
        <f>"00135877551718312"</f>
        <v>00135877551718312</v>
      </c>
      <c r="G2539" s="4">
        <v>221.54</v>
      </c>
      <c r="H2539" t="str">
        <f>"00135877551718312"</f>
        <v>00135877551718312</v>
      </c>
    </row>
    <row r="2540" spans="1:8" x14ac:dyDescent="0.25">
      <c r="E2540" t="str">
        <f>"C95202112077701"</f>
        <v>C95202112077701</v>
      </c>
      <c r="F2540" t="str">
        <f>"0011792526423338"</f>
        <v>0011792526423338</v>
      </c>
      <c r="G2540" s="4">
        <v>154.62</v>
      </c>
      <c r="H2540" t="str">
        <f>"0011792526423338"</f>
        <v>0011792526423338</v>
      </c>
    </row>
    <row r="2541" spans="1:8" x14ac:dyDescent="0.25">
      <c r="E2541" t="str">
        <f>"C96202112077701"</f>
        <v>C96202112077701</v>
      </c>
      <c r="F2541" t="str">
        <f>"00141985294237814"</f>
        <v>00141985294237814</v>
      </c>
      <c r="G2541" s="4">
        <v>230.77</v>
      </c>
      <c r="H2541" t="str">
        <f>"00141985294237814"</f>
        <v>00141985294237814</v>
      </c>
    </row>
    <row r="2542" spans="1:8" x14ac:dyDescent="0.25">
      <c r="E2542" t="str">
        <f>"C98202112077701"</f>
        <v>C98202112077701</v>
      </c>
      <c r="F2542" t="str">
        <f>"00115180722007EM5054"</f>
        <v>00115180722007EM5054</v>
      </c>
      <c r="G2542" s="4">
        <v>119.34</v>
      </c>
      <c r="H2542" t="str">
        <f>"00115180722007EM5054"</f>
        <v>00115180722007EM5054</v>
      </c>
    </row>
    <row r="2543" spans="1:8" x14ac:dyDescent="0.25">
      <c r="E2543" t="str">
        <f>"C99202112077701"</f>
        <v>C99202112077701</v>
      </c>
      <c r="F2543" t="str">
        <f>"00140071614235972"</f>
        <v>00140071614235972</v>
      </c>
      <c r="G2543" s="4">
        <v>463.85</v>
      </c>
      <c r="H2543" t="str">
        <f>"00140071614235972"</f>
        <v>00140071614235972</v>
      </c>
    </row>
    <row r="2544" spans="1:8" x14ac:dyDescent="0.25">
      <c r="A2544" t="s">
        <v>429</v>
      </c>
      <c r="B2544">
        <v>1524</v>
      </c>
      <c r="C2544" s="4">
        <v>5154.97</v>
      </c>
      <c r="D2544" s="1">
        <v>44552</v>
      </c>
      <c r="E2544" t="str">
        <f>"C1 202112177863"</f>
        <v>C1 202112177863</v>
      </c>
      <c r="F2544" t="str">
        <f>"0014064250D1FM190075"</f>
        <v>0014064250D1FM190075</v>
      </c>
      <c r="G2544" s="4">
        <v>468.6</v>
      </c>
      <c r="H2544" t="str">
        <f>"0014064250D1FM190075"</f>
        <v>0014064250D1FM190075</v>
      </c>
    </row>
    <row r="2545" spans="5:8" x14ac:dyDescent="0.25">
      <c r="E2545" t="str">
        <f>"C2 202112177864"</f>
        <v>C2 202112177864</v>
      </c>
      <c r="F2545" t="str">
        <f>"0012982132CCL7445"</f>
        <v>0012982132CCL7445</v>
      </c>
      <c r="G2545" s="4">
        <v>692.31</v>
      </c>
      <c r="H2545" t="str">
        <f>"0012982132CCL7445"</f>
        <v>0012982132CCL7445</v>
      </c>
    </row>
    <row r="2546" spans="5:8" x14ac:dyDescent="0.25">
      <c r="E2546" t="str">
        <f>"C20202112177863"</f>
        <v>C20202112177863</v>
      </c>
      <c r="F2546" t="str">
        <f>"001003981107-12252"</f>
        <v>001003981107-12252</v>
      </c>
      <c r="G2546" s="4">
        <v>115.39</v>
      </c>
      <c r="H2546" t="str">
        <f>"001003981107-12252"</f>
        <v>001003981107-12252</v>
      </c>
    </row>
    <row r="2547" spans="5:8" x14ac:dyDescent="0.25">
      <c r="E2547" t="str">
        <f>"C42202112177863"</f>
        <v>C42202112177863</v>
      </c>
      <c r="F2547" t="str">
        <f>"001236769211-14410"</f>
        <v>001236769211-14410</v>
      </c>
      <c r="G2547" s="4">
        <v>230.31</v>
      </c>
      <c r="H2547" t="str">
        <f>"001236769211-14410"</f>
        <v>001236769211-14410</v>
      </c>
    </row>
    <row r="2548" spans="5:8" x14ac:dyDescent="0.25">
      <c r="E2548" t="str">
        <f>"C46202112177863"</f>
        <v>C46202112177863</v>
      </c>
      <c r="F2548" t="str">
        <f>"CAUSE# 11-14911"</f>
        <v>CAUSE# 11-14911</v>
      </c>
      <c r="G2548" s="4">
        <v>238.62</v>
      </c>
      <c r="H2548" t="str">
        <f>"CAUSE# 11-14911"</f>
        <v>CAUSE# 11-14911</v>
      </c>
    </row>
    <row r="2549" spans="5:8" x14ac:dyDescent="0.25">
      <c r="E2549" t="str">
        <f>"C60202112177863"</f>
        <v>C60202112177863</v>
      </c>
      <c r="F2549" t="str">
        <f>"00130730762012V300"</f>
        <v>00130730762012V300</v>
      </c>
      <c r="G2549" s="4">
        <v>399.32</v>
      </c>
      <c r="H2549" t="str">
        <f>"00130730762012V300"</f>
        <v>00130730762012V300</v>
      </c>
    </row>
    <row r="2550" spans="5:8" x14ac:dyDescent="0.25">
      <c r="E2550" t="str">
        <f>"C62202112177863"</f>
        <v>C62202112177863</v>
      </c>
      <c r="F2550" t="str">
        <f>"# 0012128865"</f>
        <v># 0012128865</v>
      </c>
      <c r="G2550" s="4">
        <v>243.23</v>
      </c>
      <c r="H2550" t="str">
        <f>"# 0012128865"</f>
        <v># 0012128865</v>
      </c>
    </row>
    <row r="2551" spans="5:8" x14ac:dyDescent="0.25">
      <c r="E2551" t="str">
        <f>"C66202112177863"</f>
        <v>C66202112177863</v>
      </c>
      <c r="F2551" t="str">
        <f>"# 0012871801"</f>
        <v># 0012871801</v>
      </c>
      <c r="G2551" s="4">
        <v>90</v>
      </c>
      <c r="H2551" t="str">
        <f>"# 0012871801"</f>
        <v># 0012871801</v>
      </c>
    </row>
    <row r="2552" spans="5:8" x14ac:dyDescent="0.25">
      <c r="E2552" t="str">
        <f>"C67202112177863"</f>
        <v>C67202112177863</v>
      </c>
      <c r="F2552" t="str">
        <f>"13154657"</f>
        <v>13154657</v>
      </c>
      <c r="G2552" s="4">
        <v>101.99</v>
      </c>
      <c r="H2552" t="str">
        <f>"13154657"</f>
        <v>13154657</v>
      </c>
    </row>
    <row r="2553" spans="5:8" x14ac:dyDescent="0.25">
      <c r="E2553" t="str">
        <f>"C69202112177863"</f>
        <v>C69202112177863</v>
      </c>
      <c r="F2553" t="str">
        <f>"0012046911423672"</f>
        <v>0012046911423672</v>
      </c>
      <c r="G2553" s="4">
        <v>138.91999999999999</v>
      </c>
      <c r="H2553" t="str">
        <f>"0012046911423672"</f>
        <v>0012046911423672</v>
      </c>
    </row>
    <row r="2554" spans="5:8" x14ac:dyDescent="0.25">
      <c r="E2554" t="str">
        <f>"C72202112177863"</f>
        <v>C72202112177863</v>
      </c>
      <c r="F2554" t="str">
        <f>"0012797601C20130529B"</f>
        <v>0012797601C20130529B</v>
      </c>
      <c r="G2554" s="4">
        <v>241.85</v>
      </c>
      <c r="H2554" t="str">
        <f>"0012797601C20130529B"</f>
        <v>0012797601C20130529B</v>
      </c>
    </row>
    <row r="2555" spans="5:8" x14ac:dyDescent="0.25">
      <c r="E2555" t="str">
        <f>"C78202112177863"</f>
        <v>C78202112177863</v>
      </c>
      <c r="F2555" t="str">
        <f>"00105115972005106221"</f>
        <v>00105115972005106221</v>
      </c>
      <c r="G2555" s="4">
        <v>245.08</v>
      </c>
      <c r="H2555" t="str">
        <f>"00105115972005106221"</f>
        <v>00105115972005106221</v>
      </c>
    </row>
    <row r="2556" spans="5:8" x14ac:dyDescent="0.25">
      <c r="E2556" t="str">
        <f>"C85202112177863"</f>
        <v>C85202112177863</v>
      </c>
      <c r="F2556" t="str">
        <f>"0012469425201770874"</f>
        <v>0012469425201770874</v>
      </c>
      <c r="G2556" s="4">
        <v>138.46</v>
      </c>
      <c r="H2556" t="str">
        <f>"0012469425201770874"</f>
        <v>0012469425201770874</v>
      </c>
    </row>
    <row r="2557" spans="5:8" x14ac:dyDescent="0.25">
      <c r="E2557" t="str">
        <f>"C86202112177863"</f>
        <v>C86202112177863</v>
      </c>
      <c r="F2557" t="str">
        <f>"0013854015101285F"</f>
        <v>0013854015101285F</v>
      </c>
      <c r="G2557" s="4">
        <v>241.85</v>
      </c>
      <c r="H2557" t="str">
        <f>"0013854015101285F"</f>
        <v>0013854015101285F</v>
      </c>
    </row>
    <row r="2558" spans="5:8" x14ac:dyDescent="0.25">
      <c r="E2558" t="str">
        <f>"C87202112177863"</f>
        <v>C87202112177863</v>
      </c>
      <c r="F2558" t="str">
        <f>"0012963634L130019CVB"</f>
        <v>0012963634L130019CVB</v>
      </c>
      <c r="G2558" s="4">
        <v>249.23</v>
      </c>
      <c r="H2558" t="str">
        <f>"0012963634L130019CVB"</f>
        <v>0012963634L130019CVB</v>
      </c>
    </row>
    <row r="2559" spans="5:8" x14ac:dyDescent="0.25">
      <c r="E2559" t="str">
        <f>"C89202112177863"</f>
        <v>C89202112177863</v>
      </c>
      <c r="F2559" t="str">
        <f>"00127760434232477"</f>
        <v>00127760434232477</v>
      </c>
      <c r="G2559" s="4">
        <v>129.69</v>
      </c>
      <c r="H2559" t="str">
        <f>"00127760434232477"</f>
        <v>00127760434232477</v>
      </c>
    </row>
    <row r="2560" spans="5:8" x14ac:dyDescent="0.25">
      <c r="E2560" t="str">
        <f>"C94202112177863"</f>
        <v>C94202112177863</v>
      </c>
      <c r="F2560" t="str">
        <f>"00135877551718312"</f>
        <v>00135877551718312</v>
      </c>
      <c r="G2560" s="4">
        <v>221.54</v>
      </c>
      <c r="H2560" t="str">
        <f>"00135877551718312"</f>
        <v>00135877551718312</v>
      </c>
    </row>
    <row r="2561" spans="1:8" x14ac:dyDescent="0.25">
      <c r="E2561" t="str">
        <f>"C95202112177863"</f>
        <v>C95202112177863</v>
      </c>
      <c r="F2561" t="str">
        <f>"0011792526423338"</f>
        <v>0011792526423338</v>
      </c>
      <c r="G2561" s="4">
        <v>154.62</v>
      </c>
      <c r="H2561" t="str">
        <f>"0011792526423338"</f>
        <v>0011792526423338</v>
      </c>
    </row>
    <row r="2562" spans="1:8" x14ac:dyDescent="0.25">
      <c r="E2562" t="str">
        <f>"C96202112177863"</f>
        <v>C96202112177863</v>
      </c>
      <c r="F2562" t="str">
        <f>"00141985294237814"</f>
        <v>00141985294237814</v>
      </c>
      <c r="G2562" s="4">
        <v>230.77</v>
      </c>
      <c r="H2562" t="str">
        <f>"00141985294237814"</f>
        <v>00141985294237814</v>
      </c>
    </row>
    <row r="2563" spans="1:8" x14ac:dyDescent="0.25">
      <c r="E2563" t="str">
        <f>"C98202112177863"</f>
        <v>C98202112177863</v>
      </c>
      <c r="F2563" t="str">
        <f>"00115180722007EM5054"</f>
        <v>00115180722007EM5054</v>
      </c>
      <c r="G2563" s="4">
        <v>119.34</v>
      </c>
      <c r="H2563" t="str">
        <f>"00115180722007EM5054"</f>
        <v>00115180722007EM5054</v>
      </c>
    </row>
    <row r="2564" spans="1:8" x14ac:dyDescent="0.25">
      <c r="E2564" t="str">
        <f>"C99202112177863"</f>
        <v>C99202112177863</v>
      </c>
      <c r="F2564" t="str">
        <f>"00140071614235972"</f>
        <v>00140071614235972</v>
      </c>
      <c r="G2564" s="4">
        <v>463.85</v>
      </c>
      <c r="H2564" t="str">
        <f>"00140071614235972"</f>
        <v>00140071614235972</v>
      </c>
    </row>
    <row r="2565" spans="1:8" x14ac:dyDescent="0.25">
      <c r="A2565" t="s">
        <v>430</v>
      </c>
      <c r="B2565">
        <v>1526</v>
      </c>
      <c r="C2565" s="4">
        <v>389273.89</v>
      </c>
      <c r="D2565" s="1">
        <v>44552</v>
      </c>
      <c r="E2565" t="str">
        <f>"RET202112077701"</f>
        <v>RET202112077701</v>
      </c>
      <c r="F2565" t="str">
        <f>"TEXAS COUNTY &amp; DISTRICT RET"</f>
        <v>TEXAS COUNTY &amp; DISTRICT RET</v>
      </c>
      <c r="G2565" s="4">
        <v>936.22</v>
      </c>
      <c r="H2565" t="str">
        <f t="shared" ref="H2565:H2596" si="52">"TEXAS COUNTY &amp; DISTRICT RET"</f>
        <v>TEXAS COUNTY &amp; DISTRICT RET</v>
      </c>
    </row>
    <row r="2566" spans="1:8" x14ac:dyDescent="0.25">
      <c r="E2566" t="str">
        <f>""</f>
        <v/>
      </c>
      <c r="F2566" t="str">
        <f>""</f>
        <v/>
      </c>
      <c r="G2566" s="4">
        <v>666.6</v>
      </c>
      <c r="H2566" t="str">
        <f t="shared" si="52"/>
        <v>TEXAS COUNTY &amp; DISTRICT RET</v>
      </c>
    </row>
    <row r="2567" spans="1:8" x14ac:dyDescent="0.25">
      <c r="E2567" t="str">
        <f>""</f>
        <v/>
      </c>
      <c r="F2567" t="str">
        <f>""</f>
        <v/>
      </c>
      <c r="G2567" s="4">
        <v>1795.34</v>
      </c>
      <c r="H2567" t="str">
        <f t="shared" si="52"/>
        <v>TEXAS COUNTY &amp; DISTRICT RET</v>
      </c>
    </row>
    <row r="2568" spans="1:8" x14ac:dyDescent="0.25">
      <c r="E2568" t="str">
        <f>""</f>
        <v/>
      </c>
      <c r="F2568" t="str">
        <f>""</f>
        <v/>
      </c>
      <c r="G2568" s="4">
        <v>785.3</v>
      </c>
      <c r="H2568" t="str">
        <f t="shared" si="52"/>
        <v>TEXAS COUNTY &amp; DISTRICT RET</v>
      </c>
    </row>
    <row r="2569" spans="1:8" x14ac:dyDescent="0.25">
      <c r="E2569" t="str">
        <f>""</f>
        <v/>
      </c>
      <c r="F2569" t="str">
        <f>""</f>
        <v/>
      </c>
      <c r="G2569" s="4">
        <v>201.03</v>
      </c>
      <c r="H2569" t="str">
        <f t="shared" si="52"/>
        <v>TEXAS COUNTY &amp; DISTRICT RET</v>
      </c>
    </row>
    <row r="2570" spans="1:8" x14ac:dyDescent="0.25">
      <c r="E2570" t="str">
        <f>""</f>
        <v/>
      </c>
      <c r="F2570" t="str">
        <f>""</f>
        <v/>
      </c>
      <c r="G2570" s="4">
        <v>1549.09</v>
      </c>
      <c r="H2570" t="str">
        <f t="shared" si="52"/>
        <v>TEXAS COUNTY &amp; DISTRICT RET</v>
      </c>
    </row>
    <row r="2571" spans="1:8" x14ac:dyDescent="0.25">
      <c r="E2571" t="str">
        <f>""</f>
        <v/>
      </c>
      <c r="F2571" t="str">
        <f>""</f>
        <v/>
      </c>
      <c r="G2571" s="4">
        <v>4587.04</v>
      </c>
      <c r="H2571" t="str">
        <f t="shared" si="52"/>
        <v>TEXAS COUNTY &amp; DISTRICT RET</v>
      </c>
    </row>
    <row r="2572" spans="1:8" x14ac:dyDescent="0.25">
      <c r="E2572" t="str">
        <f>""</f>
        <v/>
      </c>
      <c r="F2572" t="str">
        <f>""</f>
        <v/>
      </c>
      <c r="G2572" s="4">
        <v>1487.54</v>
      </c>
      <c r="H2572" t="str">
        <f t="shared" si="52"/>
        <v>TEXAS COUNTY &amp; DISTRICT RET</v>
      </c>
    </row>
    <row r="2573" spans="1:8" x14ac:dyDescent="0.25">
      <c r="E2573" t="str">
        <f>""</f>
        <v/>
      </c>
      <c r="F2573" t="str">
        <f>""</f>
        <v/>
      </c>
      <c r="G2573" s="4">
        <v>1475.83</v>
      </c>
      <c r="H2573" t="str">
        <f t="shared" si="52"/>
        <v>TEXAS COUNTY &amp; DISTRICT RET</v>
      </c>
    </row>
    <row r="2574" spans="1:8" x14ac:dyDescent="0.25">
      <c r="E2574" t="str">
        <f>""</f>
        <v/>
      </c>
      <c r="F2574" t="str">
        <f>""</f>
        <v/>
      </c>
      <c r="G2574" s="4">
        <v>2825.55</v>
      </c>
      <c r="H2574" t="str">
        <f t="shared" si="52"/>
        <v>TEXAS COUNTY &amp; DISTRICT RET</v>
      </c>
    </row>
    <row r="2575" spans="1:8" x14ac:dyDescent="0.25">
      <c r="E2575" t="str">
        <f>""</f>
        <v/>
      </c>
      <c r="F2575" t="str">
        <f>""</f>
        <v/>
      </c>
      <c r="G2575" s="4">
        <v>828.9</v>
      </c>
      <c r="H2575" t="str">
        <f t="shared" si="52"/>
        <v>TEXAS COUNTY &amp; DISTRICT RET</v>
      </c>
    </row>
    <row r="2576" spans="1:8" x14ac:dyDescent="0.25">
      <c r="E2576" t="str">
        <f>""</f>
        <v/>
      </c>
      <c r="F2576" t="str">
        <f>""</f>
        <v/>
      </c>
      <c r="G2576" s="4">
        <v>855.55</v>
      </c>
      <c r="H2576" t="str">
        <f t="shared" si="52"/>
        <v>TEXAS COUNTY &amp; DISTRICT RET</v>
      </c>
    </row>
    <row r="2577" spans="5:8" x14ac:dyDescent="0.25">
      <c r="E2577" t="str">
        <f>""</f>
        <v/>
      </c>
      <c r="F2577" t="str">
        <f>""</f>
        <v/>
      </c>
      <c r="G2577" s="4">
        <v>740.89</v>
      </c>
      <c r="H2577" t="str">
        <f t="shared" si="52"/>
        <v>TEXAS COUNTY &amp; DISTRICT RET</v>
      </c>
    </row>
    <row r="2578" spans="5:8" x14ac:dyDescent="0.25">
      <c r="E2578" t="str">
        <f>""</f>
        <v/>
      </c>
      <c r="F2578" t="str">
        <f>""</f>
        <v/>
      </c>
      <c r="G2578" s="4">
        <v>755.97</v>
      </c>
      <c r="H2578" t="str">
        <f t="shared" si="52"/>
        <v>TEXAS COUNTY &amp; DISTRICT RET</v>
      </c>
    </row>
    <row r="2579" spans="5:8" x14ac:dyDescent="0.25">
      <c r="E2579" t="str">
        <f>""</f>
        <v/>
      </c>
      <c r="F2579" t="str">
        <f>""</f>
        <v/>
      </c>
      <c r="G2579" s="4">
        <v>468.32</v>
      </c>
      <c r="H2579" t="str">
        <f t="shared" si="52"/>
        <v>TEXAS COUNTY &amp; DISTRICT RET</v>
      </c>
    </row>
    <row r="2580" spans="5:8" x14ac:dyDescent="0.25">
      <c r="E2580" t="str">
        <f>""</f>
        <v/>
      </c>
      <c r="F2580" t="str">
        <f>""</f>
        <v/>
      </c>
      <c r="G2580" s="4">
        <v>4854.1000000000004</v>
      </c>
      <c r="H2580" t="str">
        <f t="shared" si="52"/>
        <v>TEXAS COUNTY &amp; DISTRICT RET</v>
      </c>
    </row>
    <row r="2581" spans="5:8" x14ac:dyDescent="0.25">
      <c r="E2581" t="str">
        <f>""</f>
        <v/>
      </c>
      <c r="F2581" t="str">
        <f>""</f>
        <v/>
      </c>
      <c r="G2581" s="4">
        <v>2098.7800000000002</v>
      </c>
      <c r="H2581" t="str">
        <f t="shared" si="52"/>
        <v>TEXAS COUNTY &amp; DISTRICT RET</v>
      </c>
    </row>
    <row r="2582" spans="5:8" x14ac:dyDescent="0.25">
      <c r="E2582" t="str">
        <f>""</f>
        <v/>
      </c>
      <c r="F2582" t="str">
        <f>""</f>
        <v/>
      </c>
      <c r="G2582" s="4">
        <v>967.18</v>
      </c>
      <c r="H2582" t="str">
        <f t="shared" si="52"/>
        <v>TEXAS COUNTY &amp; DISTRICT RET</v>
      </c>
    </row>
    <row r="2583" spans="5:8" x14ac:dyDescent="0.25">
      <c r="E2583" t="str">
        <f>""</f>
        <v/>
      </c>
      <c r="F2583" t="str">
        <f>""</f>
        <v/>
      </c>
      <c r="G2583" s="4">
        <v>887.64</v>
      </c>
      <c r="H2583" t="str">
        <f t="shared" si="52"/>
        <v>TEXAS COUNTY &amp; DISTRICT RET</v>
      </c>
    </row>
    <row r="2584" spans="5:8" x14ac:dyDescent="0.25">
      <c r="E2584" t="str">
        <f>""</f>
        <v/>
      </c>
      <c r="F2584" t="str">
        <f>""</f>
        <v/>
      </c>
      <c r="G2584" s="4">
        <v>2700.7</v>
      </c>
      <c r="H2584" t="str">
        <f t="shared" si="52"/>
        <v>TEXAS COUNTY &amp; DISTRICT RET</v>
      </c>
    </row>
    <row r="2585" spans="5:8" x14ac:dyDescent="0.25">
      <c r="E2585" t="str">
        <f>""</f>
        <v/>
      </c>
      <c r="F2585" t="str">
        <f>""</f>
        <v/>
      </c>
      <c r="G2585" s="4">
        <v>1344.27</v>
      </c>
      <c r="H2585" t="str">
        <f t="shared" si="52"/>
        <v>TEXAS COUNTY &amp; DISTRICT RET</v>
      </c>
    </row>
    <row r="2586" spans="5:8" x14ac:dyDescent="0.25">
      <c r="E2586" t="str">
        <f>""</f>
        <v/>
      </c>
      <c r="F2586" t="str">
        <f>""</f>
        <v/>
      </c>
      <c r="G2586" s="4">
        <v>3268.12</v>
      </c>
      <c r="H2586" t="str">
        <f t="shared" si="52"/>
        <v>TEXAS COUNTY &amp; DISTRICT RET</v>
      </c>
    </row>
    <row r="2587" spans="5:8" x14ac:dyDescent="0.25">
      <c r="E2587" t="str">
        <f>""</f>
        <v/>
      </c>
      <c r="F2587" t="str">
        <f>""</f>
        <v/>
      </c>
      <c r="G2587" s="4">
        <v>2221</v>
      </c>
      <c r="H2587" t="str">
        <f t="shared" si="52"/>
        <v>TEXAS COUNTY &amp; DISTRICT RET</v>
      </c>
    </row>
    <row r="2588" spans="5:8" x14ac:dyDescent="0.25">
      <c r="E2588" t="str">
        <f>""</f>
        <v/>
      </c>
      <c r="F2588" t="str">
        <f>""</f>
        <v/>
      </c>
      <c r="G2588" s="4">
        <v>4360.0200000000004</v>
      </c>
      <c r="H2588" t="str">
        <f t="shared" si="52"/>
        <v>TEXAS COUNTY &amp; DISTRICT RET</v>
      </c>
    </row>
    <row r="2589" spans="5:8" x14ac:dyDescent="0.25">
      <c r="E2589" t="str">
        <f>""</f>
        <v/>
      </c>
      <c r="F2589" t="str">
        <f>""</f>
        <v/>
      </c>
      <c r="G2589" s="4">
        <v>247.39</v>
      </c>
      <c r="H2589" t="str">
        <f t="shared" si="52"/>
        <v>TEXAS COUNTY &amp; DISTRICT RET</v>
      </c>
    </row>
    <row r="2590" spans="5:8" x14ac:dyDescent="0.25">
      <c r="E2590" t="str">
        <f>""</f>
        <v/>
      </c>
      <c r="F2590" t="str">
        <f>""</f>
        <v/>
      </c>
      <c r="G2590" s="4">
        <v>247.39</v>
      </c>
      <c r="H2590" t="str">
        <f t="shared" si="52"/>
        <v>TEXAS COUNTY &amp; DISTRICT RET</v>
      </c>
    </row>
    <row r="2591" spans="5:8" x14ac:dyDescent="0.25">
      <c r="E2591" t="str">
        <f>""</f>
        <v/>
      </c>
      <c r="F2591" t="str">
        <f>""</f>
        <v/>
      </c>
      <c r="G2591" s="4">
        <v>247.39</v>
      </c>
      <c r="H2591" t="str">
        <f t="shared" si="52"/>
        <v>TEXAS COUNTY &amp; DISTRICT RET</v>
      </c>
    </row>
    <row r="2592" spans="5:8" x14ac:dyDescent="0.25">
      <c r="E2592" t="str">
        <f>""</f>
        <v/>
      </c>
      <c r="F2592" t="str">
        <f>""</f>
        <v/>
      </c>
      <c r="G2592" s="4">
        <v>247.39</v>
      </c>
      <c r="H2592" t="str">
        <f t="shared" si="52"/>
        <v>TEXAS COUNTY &amp; DISTRICT RET</v>
      </c>
    </row>
    <row r="2593" spans="5:8" x14ac:dyDescent="0.25">
      <c r="E2593" t="str">
        <f>""</f>
        <v/>
      </c>
      <c r="F2593" t="str">
        <f>""</f>
        <v/>
      </c>
      <c r="G2593" s="4">
        <v>24618.27</v>
      </c>
      <c r="H2593" t="str">
        <f t="shared" si="52"/>
        <v>TEXAS COUNTY &amp; DISTRICT RET</v>
      </c>
    </row>
    <row r="2594" spans="5:8" x14ac:dyDescent="0.25">
      <c r="E2594" t="str">
        <f>""</f>
        <v/>
      </c>
      <c r="F2594" t="str">
        <f>""</f>
        <v/>
      </c>
      <c r="G2594" s="4">
        <v>967.34</v>
      </c>
      <c r="H2594" t="str">
        <f t="shared" si="52"/>
        <v>TEXAS COUNTY &amp; DISTRICT RET</v>
      </c>
    </row>
    <row r="2595" spans="5:8" x14ac:dyDescent="0.25">
      <c r="E2595" t="str">
        <f>""</f>
        <v/>
      </c>
      <c r="F2595" t="str">
        <f>""</f>
        <v/>
      </c>
      <c r="G2595" s="4">
        <v>19623.169999999998</v>
      </c>
      <c r="H2595" t="str">
        <f t="shared" si="52"/>
        <v>TEXAS COUNTY &amp; DISTRICT RET</v>
      </c>
    </row>
    <row r="2596" spans="5:8" x14ac:dyDescent="0.25">
      <c r="E2596" t="str">
        <f>""</f>
        <v/>
      </c>
      <c r="F2596" t="str">
        <f>""</f>
        <v/>
      </c>
      <c r="G2596" s="4">
        <v>3357.3</v>
      </c>
      <c r="H2596" t="str">
        <f t="shared" si="52"/>
        <v>TEXAS COUNTY &amp; DISTRICT RET</v>
      </c>
    </row>
    <row r="2597" spans="5:8" x14ac:dyDescent="0.25">
      <c r="E2597" t="str">
        <f>""</f>
        <v/>
      </c>
      <c r="F2597" t="str">
        <f>""</f>
        <v/>
      </c>
      <c r="G2597" s="4">
        <v>218.01</v>
      </c>
      <c r="H2597" t="str">
        <f t="shared" ref="H2597:H2614" si="53">"TEXAS COUNTY &amp; DISTRICT RET"</f>
        <v>TEXAS COUNTY &amp; DISTRICT RET</v>
      </c>
    </row>
    <row r="2598" spans="5:8" x14ac:dyDescent="0.25">
      <c r="E2598" t="str">
        <f>""</f>
        <v/>
      </c>
      <c r="F2598" t="str">
        <f>""</f>
        <v/>
      </c>
      <c r="G2598" s="4">
        <v>929.45</v>
      </c>
      <c r="H2598" t="str">
        <f t="shared" si="53"/>
        <v>TEXAS COUNTY &amp; DISTRICT RET</v>
      </c>
    </row>
    <row r="2599" spans="5:8" x14ac:dyDescent="0.25">
      <c r="E2599" t="str">
        <f>""</f>
        <v/>
      </c>
      <c r="F2599" t="str">
        <f>""</f>
        <v/>
      </c>
      <c r="G2599" s="4">
        <v>61.69</v>
      </c>
      <c r="H2599" t="str">
        <f t="shared" si="53"/>
        <v>TEXAS COUNTY &amp; DISTRICT RET</v>
      </c>
    </row>
    <row r="2600" spans="5:8" x14ac:dyDescent="0.25">
      <c r="E2600" t="str">
        <f>""</f>
        <v/>
      </c>
      <c r="F2600" t="str">
        <f>""</f>
        <v/>
      </c>
      <c r="G2600" s="4">
        <v>458.04</v>
      </c>
      <c r="H2600" t="str">
        <f t="shared" si="53"/>
        <v>TEXAS COUNTY &amp; DISTRICT RET</v>
      </c>
    </row>
    <row r="2601" spans="5:8" x14ac:dyDescent="0.25">
      <c r="E2601" t="str">
        <f>""</f>
        <v/>
      </c>
      <c r="F2601" t="str">
        <f>""</f>
        <v/>
      </c>
      <c r="G2601" s="4">
        <v>205.87</v>
      </c>
      <c r="H2601" t="str">
        <f t="shared" si="53"/>
        <v>TEXAS COUNTY &amp; DISTRICT RET</v>
      </c>
    </row>
    <row r="2602" spans="5:8" x14ac:dyDescent="0.25">
      <c r="E2602" t="str">
        <f>""</f>
        <v/>
      </c>
      <c r="F2602" t="str">
        <f>""</f>
        <v/>
      </c>
      <c r="G2602" s="4">
        <v>1098.5999999999999</v>
      </c>
      <c r="H2602" t="str">
        <f t="shared" si="53"/>
        <v>TEXAS COUNTY &amp; DISTRICT RET</v>
      </c>
    </row>
    <row r="2603" spans="5:8" x14ac:dyDescent="0.25">
      <c r="E2603" t="str">
        <f>""</f>
        <v/>
      </c>
      <c r="F2603" t="str">
        <f>""</f>
        <v/>
      </c>
      <c r="G2603" s="4">
        <v>351.6</v>
      </c>
      <c r="H2603" t="str">
        <f t="shared" si="53"/>
        <v>TEXAS COUNTY &amp; DISTRICT RET</v>
      </c>
    </row>
    <row r="2604" spans="5:8" x14ac:dyDescent="0.25">
      <c r="E2604" t="str">
        <f>""</f>
        <v/>
      </c>
      <c r="F2604" t="str">
        <f>""</f>
        <v/>
      </c>
      <c r="G2604" s="4">
        <v>288.83999999999997</v>
      </c>
      <c r="H2604" t="str">
        <f t="shared" si="53"/>
        <v>TEXAS COUNTY &amp; DISTRICT RET</v>
      </c>
    </row>
    <row r="2605" spans="5:8" x14ac:dyDescent="0.25">
      <c r="E2605" t="str">
        <f>""</f>
        <v/>
      </c>
      <c r="F2605" t="str">
        <f>""</f>
        <v/>
      </c>
      <c r="G2605" s="4">
        <v>2690.72</v>
      </c>
      <c r="H2605" t="str">
        <f t="shared" si="53"/>
        <v>TEXAS COUNTY &amp; DISTRICT RET</v>
      </c>
    </row>
    <row r="2606" spans="5:8" x14ac:dyDescent="0.25">
      <c r="E2606" t="str">
        <f>""</f>
        <v/>
      </c>
      <c r="F2606" t="str">
        <f>""</f>
        <v/>
      </c>
      <c r="G2606" s="4">
        <v>2964.95</v>
      </c>
      <c r="H2606" t="str">
        <f t="shared" si="53"/>
        <v>TEXAS COUNTY &amp; DISTRICT RET</v>
      </c>
    </row>
    <row r="2607" spans="5:8" x14ac:dyDescent="0.25">
      <c r="E2607" t="str">
        <f>""</f>
        <v/>
      </c>
      <c r="F2607" t="str">
        <f>""</f>
        <v/>
      </c>
      <c r="G2607" s="4">
        <v>2896.49</v>
      </c>
      <c r="H2607" t="str">
        <f t="shared" si="53"/>
        <v>TEXAS COUNTY &amp; DISTRICT RET</v>
      </c>
    </row>
    <row r="2608" spans="5:8" x14ac:dyDescent="0.25">
      <c r="E2608" t="str">
        <f>""</f>
        <v/>
      </c>
      <c r="F2608" t="str">
        <f>""</f>
        <v/>
      </c>
      <c r="G2608" s="4">
        <v>3467.87</v>
      </c>
      <c r="H2608" t="str">
        <f t="shared" si="53"/>
        <v>TEXAS COUNTY &amp; DISTRICT RET</v>
      </c>
    </row>
    <row r="2609" spans="5:8" x14ac:dyDescent="0.25">
      <c r="E2609" t="str">
        <f>""</f>
        <v/>
      </c>
      <c r="F2609" t="str">
        <f>""</f>
        <v/>
      </c>
      <c r="G2609" s="4">
        <v>415.4</v>
      </c>
      <c r="H2609" t="str">
        <f t="shared" si="53"/>
        <v>TEXAS COUNTY &amp; DISTRICT RET</v>
      </c>
    </row>
    <row r="2610" spans="5:8" x14ac:dyDescent="0.25">
      <c r="E2610" t="str">
        <f>""</f>
        <v/>
      </c>
      <c r="F2610" t="str">
        <f>""</f>
        <v/>
      </c>
      <c r="G2610" s="4">
        <v>12.79</v>
      </c>
      <c r="H2610" t="str">
        <f t="shared" si="53"/>
        <v>TEXAS COUNTY &amp; DISTRICT RET</v>
      </c>
    </row>
    <row r="2611" spans="5:8" x14ac:dyDescent="0.25">
      <c r="E2611" t="str">
        <f>""</f>
        <v/>
      </c>
      <c r="F2611" t="str">
        <f>""</f>
        <v/>
      </c>
      <c r="G2611" s="4">
        <v>26.87</v>
      </c>
      <c r="H2611" t="str">
        <f t="shared" si="53"/>
        <v>TEXAS COUNTY &amp; DISTRICT RET</v>
      </c>
    </row>
    <row r="2612" spans="5:8" x14ac:dyDescent="0.25">
      <c r="E2612" t="str">
        <f>""</f>
        <v/>
      </c>
      <c r="F2612" t="str">
        <f>""</f>
        <v/>
      </c>
      <c r="G2612" s="4">
        <v>39.090000000000003</v>
      </c>
      <c r="H2612" t="str">
        <f t="shared" si="53"/>
        <v>TEXAS COUNTY &amp; DISTRICT RET</v>
      </c>
    </row>
    <row r="2613" spans="5:8" x14ac:dyDescent="0.25">
      <c r="E2613" t="str">
        <f>""</f>
        <v/>
      </c>
      <c r="F2613" t="str">
        <f>""</f>
        <v/>
      </c>
      <c r="G2613" s="4">
        <v>653.80999999999995</v>
      </c>
      <c r="H2613" t="str">
        <f t="shared" si="53"/>
        <v>TEXAS COUNTY &amp; DISTRICT RET</v>
      </c>
    </row>
    <row r="2614" spans="5:8" x14ac:dyDescent="0.25">
      <c r="E2614" t="str">
        <f>""</f>
        <v/>
      </c>
      <c r="F2614" t="str">
        <f>""</f>
        <v/>
      </c>
      <c r="G2614" s="4">
        <v>70777.3</v>
      </c>
      <c r="H2614" t="str">
        <f t="shared" si="53"/>
        <v>TEXAS COUNTY &amp; DISTRICT RET</v>
      </c>
    </row>
    <row r="2615" spans="5:8" x14ac:dyDescent="0.25">
      <c r="E2615" t="str">
        <f>"RET202112077702"</f>
        <v>RET202112077702</v>
      </c>
      <c r="F2615" t="str">
        <f>"TEXAS COUNTY  DISTRICT RET"</f>
        <v>TEXAS COUNTY  DISTRICT RET</v>
      </c>
      <c r="G2615" s="4">
        <v>4037.28</v>
      </c>
      <c r="H2615" t="str">
        <f>"TEXAS COUNTY  DISTRICT RET"</f>
        <v>TEXAS COUNTY  DISTRICT RET</v>
      </c>
    </row>
    <row r="2616" spans="5:8" x14ac:dyDescent="0.25">
      <c r="E2616" t="str">
        <f>""</f>
        <v/>
      </c>
      <c r="F2616" t="str">
        <f>""</f>
        <v/>
      </c>
      <c r="G2616" s="4">
        <v>2621.6</v>
      </c>
      <c r="H2616" t="str">
        <f>"TEXAS COUNTY  DISTRICT RET"</f>
        <v>TEXAS COUNTY  DISTRICT RET</v>
      </c>
    </row>
    <row r="2617" spans="5:8" x14ac:dyDescent="0.25">
      <c r="E2617" t="str">
        <f>"RET202112077703"</f>
        <v>RET202112077703</v>
      </c>
      <c r="F2617" t="str">
        <f>"TEXAS COUNTY &amp; DISTRICT RET"</f>
        <v>TEXAS COUNTY &amp; DISTRICT RET</v>
      </c>
      <c r="G2617" s="4">
        <v>4150.3999999999996</v>
      </c>
      <c r="H2617" t="str">
        <f t="shared" ref="H2617:H2648" si="54">"TEXAS COUNTY &amp; DISTRICT RET"</f>
        <v>TEXAS COUNTY &amp; DISTRICT RET</v>
      </c>
    </row>
    <row r="2618" spans="5:8" x14ac:dyDescent="0.25">
      <c r="E2618" t="str">
        <f>""</f>
        <v/>
      </c>
      <c r="F2618" t="str">
        <f>""</f>
        <v/>
      </c>
      <c r="G2618" s="4">
        <v>2695.06</v>
      </c>
      <c r="H2618" t="str">
        <f t="shared" si="54"/>
        <v>TEXAS COUNTY &amp; DISTRICT RET</v>
      </c>
    </row>
    <row r="2619" spans="5:8" x14ac:dyDescent="0.25">
      <c r="E2619" t="str">
        <f>"RET202112147762"</f>
        <v>RET202112147762</v>
      </c>
      <c r="F2619" t="str">
        <f>"TEXAS COUNTY &amp; DISTRICT RET"</f>
        <v>TEXAS COUNTY &amp; DISTRICT RET</v>
      </c>
      <c r="G2619" s="4">
        <v>995.89</v>
      </c>
      <c r="H2619" t="str">
        <f t="shared" si="54"/>
        <v>TEXAS COUNTY &amp; DISTRICT RET</v>
      </c>
    </row>
    <row r="2620" spans="5:8" x14ac:dyDescent="0.25">
      <c r="E2620" t="str">
        <f>""</f>
        <v/>
      </c>
      <c r="F2620" t="str">
        <f>""</f>
        <v/>
      </c>
      <c r="G2620" s="4">
        <v>458.9</v>
      </c>
      <c r="H2620" t="str">
        <f t="shared" si="54"/>
        <v>TEXAS COUNTY &amp; DISTRICT RET</v>
      </c>
    </row>
    <row r="2621" spans="5:8" x14ac:dyDescent="0.25">
      <c r="E2621" t="str">
        <f>""</f>
        <v/>
      </c>
      <c r="F2621" t="str">
        <f>""</f>
        <v/>
      </c>
      <c r="G2621" s="4">
        <v>21.99</v>
      </c>
      <c r="H2621" t="str">
        <f t="shared" si="54"/>
        <v>TEXAS COUNTY &amp; DISTRICT RET</v>
      </c>
    </row>
    <row r="2622" spans="5:8" x14ac:dyDescent="0.25">
      <c r="E2622" t="str">
        <f>""</f>
        <v/>
      </c>
      <c r="F2622" t="str">
        <f>""</f>
        <v/>
      </c>
      <c r="G2622" s="4">
        <v>958.95</v>
      </c>
      <c r="H2622" t="str">
        <f t="shared" si="54"/>
        <v>TEXAS COUNTY &amp; DISTRICT RET</v>
      </c>
    </row>
    <row r="2623" spans="5:8" x14ac:dyDescent="0.25">
      <c r="E2623" t="str">
        <f>"RET202112177863"</f>
        <v>RET202112177863</v>
      </c>
      <c r="F2623" t="str">
        <f>"TEXAS COUNTY &amp; DISTRICT RET"</f>
        <v>TEXAS COUNTY &amp; DISTRICT RET</v>
      </c>
      <c r="G2623" s="4">
        <v>936.22</v>
      </c>
      <c r="H2623" t="str">
        <f t="shared" si="54"/>
        <v>TEXAS COUNTY &amp; DISTRICT RET</v>
      </c>
    </row>
    <row r="2624" spans="5:8" x14ac:dyDescent="0.25">
      <c r="E2624" t="str">
        <f>""</f>
        <v/>
      </c>
      <c r="F2624" t="str">
        <f>""</f>
        <v/>
      </c>
      <c r="G2624" s="4">
        <v>666.6</v>
      </c>
      <c r="H2624" t="str">
        <f t="shared" si="54"/>
        <v>TEXAS COUNTY &amp; DISTRICT RET</v>
      </c>
    </row>
    <row r="2625" spans="5:8" x14ac:dyDescent="0.25">
      <c r="E2625" t="str">
        <f>""</f>
        <v/>
      </c>
      <c r="F2625" t="str">
        <f>""</f>
        <v/>
      </c>
      <c r="G2625" s="4">
        <v>1795.34</v>
      </c>
      <c r="H2625" t="str">
        <f t="shared" si="54"/>
        <v>TEXAS COUNTY &amp; DISTRICT RET</v>
      </c>
    </row>
    <row r="2626" spans="5:8" x14ac:dyDescent="0.25">
      <c r="E2626" t="str">
        <f>""</f>
        <v/>
      </c>
      <c r="F2626" t="str">
        <f>""</f>
        <v/>
      </c>
      <c r="G2626" s="4">
        <v>699.88</v>
      </c>
      <c r="H2626" t="str">
        <f t="shared" si="54"/>
        <v>TEXAS COUNTY &amp; DISTRICT RET</v>
      </c>
    </row>
    <row r="2627" spans="5:8" x14ac:dyDescent="0.25">
      <c r="E2627" t="str">
        <f>""</f>
        <v/>
      </c>
      <c r="F2627" t="str">
        <f>""</f>
        <v/>
      </c>
      <c r="G2627" s="4">
        <v>402.06</v>
      </c>
      <c r="H2627" t="str">
        <f t="shared" si="54"/>
        <v>TEXAS COUNTY &amp; DISTRICT RET</v>
      </c>
    </row>
    <row r="2628" spans="5:8" x14ac:dyDescent="0.25">
      <c r="E2628" t="str">
        <f>""</f>
        <v/>
      </c>
      <c r="F2628" t="str">
        <f>""</f>
        <v/>
      </c>
      <c r="G2628" s="4">
        <v>1549.08</v>
      </c>
      <c r="H2628" t="str">
        <f t="shared" si="54"/>
        <v>TEXAS COUNTY &amp; DISTRICT RET</v>
      </c>
    </row>
    <row r="2629" spans="5:8" x14ac:dyDescent="0.25">
      <c r="E2629" t="str">
        <f>""</f>
        <v/>
      </c>
      <c r="F2629" t="str">
        <f>""</f>
        <v/>
      </c>
      <c r="G2629" s="4">
        <v>4505.68</v>
      </c>
      <c r="H2629" t="str">
        <f t="shared" si="54"/>
        <v>TEXAS COUNTY &amp; DISTRICT RET</v>
      </c>
    </row>
    <row r="2630" spans="5:8" x14ac:dyDescent="0.25">
      <c r="E2630" t="str">
        <f>""</f>
        <v/>
      </c>
      <c r="F2630" t="str">
        <f>""</f>
        <v/>
      </c>
      <c r="G2630" s="4">
        <v>1487.54</v>
      </c>
      <c r="H2630" t="str">
        <f t="shared" si="54"/>
        <v>TEXAS COUNTY &amp; DISTRICT RET</v>
      </c>
    </row>
    <row r="2631" spans="5:8" x14ac:dyDescent="0.25">
      <c r="E2631" t="str">
        <f>""</f>
        <v/>
      </c>
      <c r="F2631" t="str">
        <f>""</f>
        <v/>
      </c>
      <c r="G2631" s="4">
        <v>1475.83</v>
      </c>
      <c r="H2631" t="str">
        <f t="shared" si="54"/>
        <v>TEXAS COUNTY &amp; DISTRICT RET</v>
      </c>
    </row>
    <row r="2632" spans="5:8" x14ac:dyDescent="0.25">
      <c r="E2632" t="str">
        <f>""</f>
        <v/>
      </c>
      <c r="F2632" t="str">
        <f>""</f>
        <v/>
      </c>
      <c r="G2632" s="4">
        <v>2754.18</v>
      </c>
      <c r="H2632" t="str">
        <f t="shared" si="54"/>
        <v>TEXAS COUNTY &amp; DISTRICT RET</v>
      </c>
    </row>
    <row r="2633" spans="5:8" x14ac:dyDescent="0.25">
      <c r="E2633" t="str">
        <f>""</f>
        <v/>
      </c>
      <c r="F2633" t="str">
        <f>""</f>
        <v/>
      </c>
      <c r="G2633" s="4">
        <v>828.9</v>
      </c>
      <c r="H2633" t="str">
        <f t="shared" si="54"/>
        <v>TEXAS COUNTY &amp; DISTRICT RET</v>
      </c>
    </row>
    <row r="2634" spans="5:8" x14ac:dyDescent="0.25">
      <c r="E2634" t="str">
        <f>""</f>
        <v/>
      </c>
      <c r="F2634" t="str">
        <f>""</f>
        <v/>
      </c>
      <c r="G2634" s="4">
        <v>855.55</v>
      </c>
      <c r="H2634" t="str">
        <f t="shared" si="54"/>
        <v>TEXAS COUNTY &amp; DISTRICT RET</v>
      </c>
    </row>
    <row r="2635" spans="5:8" x14ac:dyDescent="0.25">
      <c r="E2635" t="str">
        <f>""</f>
        <v/>
      </c>
      <c r="F2635" t="str">
        <f>""</f>
        <v/>
      </c>
      <c r="G2635" s="4">
        <v>740.89</v>
      </c>
      <c r="H2635" t="str">
        <f t="shared" si="54"/>
        <v>TEXAS COUNTY &amp; DISTRICT RET</v>
      </c>
    </row>
    <row r="2636" spans="5:8" x14ac:dyDescent="0.25">
      <c r="E2636" t="str">
        <f>""</f>
        <v/>
      </c>
      <c r="F2636" t="str">
        <f>""</f>
        <v/>
      </c>
      <c r="G2636" s="4">
        <v>755.97</v>
      </c>
      <c r="H2636" t="str">
        <f t="shared" si="54"/>
        <v>TEXAS COUNTY &amp; DISTRICT RET</v>
      </c>
    </row>
    <row r="2637" spans="5:8" x14ac:dyDescent="0.25">
      <c r="E2637" t="str">
        <f>""</f>
        <v/>
      </c>
      <c r="F2637" t="str">
        <f>""</f>
        <v/>
      </c>
      <c r="G2637" s="4">
        <v>425.37</v>
      </c>
      <c r="H2637" t="str">
        <f t="shared" si="54"/>
        <v>TEXAS COUNTY &amp; DISTRICT RET</v>
      </c>
    </row>
    <row r="2638" spans="5:8" x14ac:dyDescent="0.25">
      <c r="E2638" t="str">
        <f>""</f>
        <v/>
      </c>
      <c r="F2638" t="str">
        <f>""</f>
        <v/>
      </c>
      <c r="G2638" s="4">
        <v>4854.1000000000004</v>
      </c>
      <c r="H2638" t="str">
        <f t="shared" si="54"/>
        <v>TEXAS COUNTY &amp; DISTRICT RET</v>
      </c>
    </row>
    <row r="2639" spans="5:8" x14ac:dyDescent="0.25">
      <c r="E2639" t="str">
        <f>""</f>
        <v/>
      </c>
      <c r="F2639" t="str">
        <f>""</f>
        <v/>
      </c>
      <c r="G2639" s="4">
        <v>2098.7800000000002</v>
      </c>
      <c r="H2639" t="str">
        <f t="shared" si="54"/>
        <v>TEXAS COUNTY &amp; DISTRICT RET</v>
      </c>
    </row>
    <row r="2640" spans="5:8" x14ac:dyDescent="0.25">
      <c r="E2640" t="str">
        <f>""</f>
        <v/>
      </c>
      <c r="F2640" t="str">
        <f>""</f>
        <v/>
      </c>
      <c r="G2640" s="4">
        <v>967.18</v>
      </c>
      <c r="H2640" t="str">
        <f t="shared" si="54"/>
        <v>TEXAS COUNTY &amp; DISTRICT RET</v>
      </c>
    </row>
    <row r="2641" spans="5:8" x14ac:dyDescent="0.25">
      <c r="E2641" t="str">
        <f>""</f>
        <v/>
      </c>
      <c r="F2641" t="str">
        <f>""</f>
        <v/>
      </c>
      <c r="G2641" s="4">
        <v>887.64</v>
      </c>
      <c r="H2641" t="str">
        <f t="shared" si="54"/>
        <v>TEXAS COUNTY &amp; DISTRICT RET</v>
      </c>
    </row>
    <row r="2642" spans="5:8" x14ac:dyDescent="0.25">
      <c r="E2642" t="str">
        <f>""</f>
        <v/>
      </c>
      <c r="F2642" t="str">
        <f>""</f>
        <v/>
      </c>
      <c r="G2642" s="4">
        <v>2700.7</v>
      </c>
      <c r="H2642" t="str">
        <f t="shared" si="54"/>
        <v>TEXAS COUNTY &amp; DISTRICT RET</v>
      </c>
    </row>
    <row r="2643" spans="5:8" x14ac:dyDescent="0.25">
      <c r="E2643" t="str">
        <f>""</f>
        <v/>
      </c>
      <c r="F2643" t="str">
        <f>""</f>
        <v/>
      </c>
      <c r="G2643" s="4">
        <v>1344.27</v>
      </c>
      <c r="H2643" t="str">
        <f t="shared" si="54"/>
        <v>TEXAS COUNTY &amp; DISTRICT RET</v>
      </c>
    </row>
    <row r="2644" spans="5:8" x14ac:dyDescent="0.25">
      <c r="E2644" t="str">
        <f>""</f>
        <v/>
      </c>
      <c r="F2644" t="str">
        <f>""</f>
        <v/>
      </c>
      <c r="G2644" s="4">
        <v>3268.12</v>
      </c>
      <c r="H2644" t="str">
        <f t="shared" si="54"/>
        <v>TEXAS COUNTY &amp; DISTRICT RET</v>
      </c>
    </row>
    <row r="2645" spans="5:8" x14ac:dyDescent="0.25">
      <c r="E2645" t="str">
        <f>""</f>
        <v/>
      </c>
      <c r="F2645" t="str">
        <f>""</f>
        <v/>
      </c>
      <c r="G2645" s="4">
        <v>2221</v>
      </c>
      <c r="H2645" t="str">
        <f t="shared" si="54"/>
        <v>TEXAS COUNTY &amp; DISTRICT RET</v>
      </c>
    </row>
    <row r="2646" spans="5:8" x14ac:dyDescent="0.25">
      <c r="E2646" t="str">
        <f>""</f>
        <v/>
      </c>
      <c r="F2646" t="str">
        <f>""</f>
        <v/>
      </c>
      <c r="G2646" s="4">
        <v>4281.4799999999996</v>
      </c>
      <c r="H2646" t="str">
        <f t="shared" si="54"/>
        <v>TEXAS COUNTY &amp; DISTRICT RET</v>
      </c>
    </row>
    <row r="2647" spans="5:8" x14ac:dyDescent="0.25">
      <c r="E2647" t="str">
        <f>""</f>
        <v/>
      </c>
      <c r="F2647" t="str">
        <f>""</f>
        <v/>
      </c>
      <c r="G2647" s="4">
        <v>247.39</v>
      </c>
      <c r="H2647" t="str">
        <f t="shared" si="54"/>
        <v>TEXAS COUNTY &amp; DISTRICT RET</v>
      </c>
    </row>
    <row r="2648" spans="5:8" x14ac:dyDescent="0.25">
      <c r="E2648" t="str">
        <f>""</f>
        <v/>
      </c>
      <c r="F2648" t="str">
        <f>""</f>
        <v/>
      </c>
      <c r="G2648" s="4">
        <v>247.39</v>
      </c>
      <c r="H2648" t="str">
        <f t="shared" si="54"/>
        <v>TEXAS COUNTY &amp; DISTRICT RET</v>
      </c>
    </row>
    <row r="2649" spans="5:8" x14ac:dyDescent="0.25">
      <c r="E2649" t="str">
        <f>""</f>
        <v/>
      </c>
      <c r="F2649" t="str">
        <f>""</f>
        <v/>
      </c>
      <c r="G2649" s="4">
        <v>247.39</v>
      </c>
      <c r="H2649" t="str">
        <f t="shared" ref="H2649:H2672" si="55">"TEXAS COUNTY &amp; DISTRICT RET"</f>
        <v>TEXAS COUNTY &amp; DISTRICT RET</v>
      </c>
    </row>
    <row r="2650" spans="5:8" x14ac:dyDescent="0.25">
      <c r="E2650" t="str">
        <f>""</f>
        <v/>
      </c>
      <c r="F2650" t="str">
        <f>""</f>
        <v/>
      </c>
      <c r="G2650" s="4">
        <v>247.39</v>
      </c>
      <c r="H2650" t="str">
        <f t="shared" si="55"/>
        <v>TEXAS COUNTY &amp; DISTRICT RET</v>
      </c>
    </row>
    <row r="2651" spans="5:8" x14ac:dyDescent="0.25">
      <c r="E2651" t="str">
        <f>""</f>
        <v/>
      </c>
      <c r="F2651" t="str">
        <f>""</f>
        <v/>
      </c>
      <c r="G2651" s="4">
        <v>24543.49</v>
      </c>
      <c r="H2651" t="str">
        <f t="shared" si="55"/>
        <v>TEXAS COUNTY &amp; DISTRICT RET</v>
      </c>
    </row>
    <row r="2652" spans="5:8" x14ac:dyDescent="0.25">
      <c r="E2652" t="str">
        <f>""</f>
        <v/>
      </c>
      <c r="F2652" t="str">
        <f>""</f>
        <v/>
      </c>
      <c r="G2652" s="4">
        <v>967.34</v>
      </c>
      <c r="H2652" t="str">
        <f t="shared" si="55"/>
        <v>TEXAS COUNTY &amp; DISTRICT RET</v>
      </c>
    </row>
    <row r="2653" spans="5:8" x14ac:dyDescent="0.25">
      <c r="E2653" t="str">
        <f>""</f>
        <v/>
      </c>
      <c r="F2653" t="str">
        <f>""</f>
        <v/>
      </c>
      <c r="G2653" s="4">
        <v>20261.080000000002</v>
      </c>
      <c r="H2653" t="str">
        <f t="shared" si="55"/>
        <v>TEXAS COUNTY &amp; DISTRICT RET</v>
      </c>
    </row>
    <row r="2654" spans="5:8" x14ac:dyDescent="0.25">
      <c r="E2654" t="str">
        <f>""</f>
        <v/>
      </c>
      <c r="F2654" t="str">
        <f>""</f>
        <v/>
      </c>
      <c r="G2654" s="4">
        <v>3565.2</v>
      </c>
      <c r="H2654" t="str">
        <f t="shared" si="55"/>
        <v>TEXAS COUNTY &amp; DISTRICT RET</v>
      </c>
    </row>
    <row r="2655" spans="5:8" x14ac:dyDescent="0.25">
      <c r="E2655" t="str">
        <f>""</f>
        <v/>
      </c>
      <c r="F2655" t="str">
        <f>""</f>
        <v/>
      </c>
      <c r="G2655" s="4">
        <v>218.01</v>
      </c>
      <c r="H2655" t="str">
        <f t="shared" si="55"/>
        <v>TEXAS COUNTY &amp; DISTRICT RET</v>
      </c>
    </row>
    <row r="2656" spans="5:8" x14ac:dyDescent="0.25">
      <c r="E2656" t="str">
        <f>""</f>
        <v/>
      </c>
      <c r="F2656" t="str">
        <f>""</f>
        <v/>
      </c>
      <c r="G2656" s="4">
        <v>929.45</v>
      </c>
      <c r="H2656" t="str">
        <f t="shared" si="55"/>
        <v>TEXAS COUNTY &amp; DISTRICT RET</v>
      </c>
    </row>
    <row r="2657" spans="5:8" x14ac:dyDescent="0.25">
      <c r="E2657" t="str">
        <f>""</f>
        <v/>
      </c>
      <c r="F2657" t="str">
        <f>""</f>
        <v/>
      </c>
      <c r="G2657" s="4">
        <v>61.69</v>
      </c>
      <c r="H2657" t="str">
        <f t="shared" si="55"/>
        <v>TEXAS COUNTY &amp; DISTRICT RET</v>
      </c>
    </row>
    <row r="2658" spans="5:8" x14ac:dyDescent="0.25">
      <c r="E2658" t="str">
        <f>""</f>
        <v/>
      </c>
      <c r="F2658" t="str">
        <f>""</f>
        <v/>
      </c>
      <c r="G2658" s="4">
        <v>465.61</v>
      </c>
      <c r="H2658" t="str">
        <f t="shared" si="55"/>
        <v>TEXAS COUNTY &amp; DISTRICT RET</v>
      </c>
    </row>
    <row r="2659" spans="5:8" x14ac:dyDescent="0.25">
      <c r="E2659" t="str">
        <f>""</f>
        <v/>
      </c>
      <c r="F2659" t="str">
        <f>""</f>
        <v/>
      </c>
      <c r="G2659" s="4">
        <v>205.87</v>
      </c>
      <c r="H2659" t="str">
        <f t="shared" si="55"/>
        <v>TEXAS COUNTY &amp; DISTRICT RET</v>
      </c>
    </row>
    <row r="2660" spans="5:8" x14ac:dyDescent="0.25">
      <c r="E2660" t="str">
        <f>""</f>
        <v/>
      </c>
      <c r="F2660" t="str">
        <f>""</f>
        <v/>
      </c>
      <c r="G2660" s="4">
        <v>1205.3599999999999</v>
      </c>
      <c r="H2660" t="str">
        <f t="shared" si="55"/>
        <v>TEXAS COUNTY &amp; DISTRICT RET</v>
      </c>
    </row>
    <row r="2661" spans="5:8" x14ac:dyDescent="0.25">
      <c r="E2661" t="str">
        <f>""</f>
        <v/>
      </c>
      <c r="F2661" t="str">
        <f>""</f>
        <v/>
      </c>
      <c r="G2661" s="4">
        <v>351.6</v>
      </c>
      <c r="H2661" t="str">
        <f t="shared" si="55"/>
        <v>TEXAS COUNTY &amp; DISTRICT RET</v>
      </c>
    </row>
    <row r="2662" spans="5:8" x14ac:dyDescent="0.25">
      <c r="E2662" t="str">
        <f>""</f>
        <v/>
      </c>
      <c r="F2662" t="str">
        <f>""</f>
        <v/>
      </c>
      <c r="G2662" s="4">
        <v>288.83999999999997</v>
      </c>
      <c r="H2662" t="str">
        <f t="shared" si="55"/>
        <v>TEXAS COUNTY &amp; DISTRICT RET</v>
      </c>
    </row>
    <row r="2663" spans="5:8" x14ac:dyDescent="0.25">
      <c r="E2663" t="str">
        <f>""</f>
        <v/>
      </c>
      <c r="F2663" t="str">
        <f>""</f>
        <v/>
      </c>
      <c r="G2663" s="4">
        <v>2690.58</v>
      </c>
      <c r="H2663" t="str">
        <f t="shared" si="55"/>
        <v>TEXAS COUNTY &amp; DISTRICT RET</v>
      </c>
    </row>
    <row r="2664" spans="5:8" x14ac:dyDescent="0.25">
      <c r="E2664" t="str">
        <f>""</f>
        <v/>
      </c>
      <c r="F2664" t="str">
        <f>""</f>
        <v/>
      </c>
      <c r="G2664" s="4">
        <v>2757.35</v>
      </c>
      <c r="H2664" t="str">
        <f t="shared" si="55"/>
        <v>TEXAS COUNTY &amp; DISTRICT RET</v>
      </c>
    </row>
    <row r="2665" spans="5:8" x14ac:dyDescent="0.25">
      <c r="E2665" t="str">
        <f>""</f>
        <v/>
      </c>
      <c r="F2665" t="str">
        <f>""</f>
        <v/>
      </c>
      <c r="G2665" s="4">
        <v>2972.19</v>
      </c>
      <c r="H2665" t="str">
        <f t="shared" si="55"/>
        <v>TEXAS COUNTY &amp; DISTRICT RET</v>
      </c>
    </row>
    <row r="2666" spans="5:8" x14ac:dyDescent="0.25">
      <c r="E2666" t="str">
        <f>""</f>
        <v/>
      </c>
      <c r="F2666" t="str">
        <f>""</f>
        <v/>
      </c>
      <c r="G2666" s="4">
        <v>3598.26</v>
      </c>
      <c r="H2666" t="str">
        <f t="shared" si="55"/>
        <v>TEXAS COUNTY &amp; DISTRICT RET</v>
      </c>
    </row>
    <row r="2667" spans="5:8" x14ac:dyDescent="0.25">
      <c r="E2667" t="str">
        <f>""</f>
        <v/>
      </c>
      <c r="F2667" t="str">
        <f>""</f>
        <v/>
      </c>
      <c r="G2667" s="4">
        <v>415.4</v>
      </c>
      <c r="H2667" t="str">
        <f t="shared" si="55"/>
        <v>TEXAS COUNTY &amp; DISTRICT RET</v>
      </c>
    </row>
    <row r="2668" spans="5:8" x14ac:dyDescent="0.25">
      <c r="E2668" t="str">
        <f>""</f>
        <v/>
      </c>
      <c r="F2668" t="str">
        <f>""</f>
        <v/>
      </c>
      <c r="G2668" s="4">
        <v>12.79</v>
      </c>
      <c r="H2668" t="str">
        <f t="shared" si="55"/>
        <v>TEXAS COUNTY &amp; DISTRICT RET</v>
      </c>
    </row>
    <row r="2669" spans="5:8" x14ac:dyDescent="0.25">
      <c r="E2669" t="str">
        <f>""</f>
        <v/>
      </c>
      <c r="F2669" t="str">
        <f>""</f>
        <v/>
      </c>
      <c r="G2669" s="4">
        <v>26.87</v>
      </c>
      <c r="H2669" t="str">
        <f t="shared" si="55"/>
        <v>TEXAS COUNTY &amp; DISTRICT RET</v>
      </c>
    </row>
    <row r="2670" spans="5:8" x14ac:dyDescent="0.25">
      <c r="E2670" t="str">
        <f>""</f>
        <v/>
      </c>
      <c r="F2670" t="str">
        <f>""</f>
        <v/>
      </c>
      <c r="G2670" s="4">
        <v>39.090000000000003</v>
      </c>
      <c r="H2670" t="str">
        <f t="shared" si="55"/>
        <v>TEXAS COUNTY &amp; DISTRICT RET</v>
      </c>
    </row>
    <row r="2671" spans="5:8" x14ac:dyDescent="0.25">
      <c r="E2671" t="str">
        <f>""</f>
        <v/>
      </c>
      <c r="F2671" t="str">
        <f>""</f>
        <v/>
      </c>
      <c r="G2671" s="4">
        <v>653.80999999999995</v>
      </c>
      <c r="H2671" t="str">
        <f t="shared" si="55"/>
        <v>TEXAS COUNTY &amp; DISTRICT RET</v>
      </c>
    </row>
    <row r="2672" spans="5:8" x14ac:dyDescent="0.25">
      <c r="E2672" t="str">
        <f>""</f>
        <v/>
      </c>
      <c r="F2672" t="str">
        <f>""</f>
        <v/>
      </c>
      <c r="G2672" s="4">
        <v>71248.11</v>
      </c>
      <c r="H2672" t="str">
        <f t="shared" si="55"/>
        <v>TEXAS COUNTY &amp; DISTRICT RET</v>
      </c>
    </row>
    <row r="2673" spans="1:8" x14ac:dyDescent="0.25">
      <c r="E2673" t="str">
        <f>"RET202112177864"</f>
        <v>RET202112177864</v>
      </c>
      <c r="F2673" t="str">
        <f>"TEXAS COUNTY  DISTRICT RET"</f>
        <v>TEXAS COUNTY  DISTRICT RET</v>
      </c>
      <c r="G2673" s="4">
        <v>3489.57</v>
      </c>
      <c r="H2673" t="str">
        <f>"TEXAS COUNTY  DISTRICT RET"</f>
        <v>TEXAS COUNTY  DISTRICT RET</v>
      </c>
    </row>
    <row r="2674" spans="1:8" x14ac:dyDescent="0.25">
      <c r="E2674" t="str">
        <f>""</f>
        <v/>
      </c>
      <c r="F2674" t="str">
        <f>""</f>
        <v/>
      </c>
      <c r="G2674" s="4">
        <v>2265.94</v>
      </c>
      <c r="H2674" t="str">
        <f>"TEXAS COUNTY  DISTRICT RET"</f>
        <v>TEXAS COUNTY  DISTRICT RET</v>
      </c>
    </row>
    <row r="2675" spans="1:8" x14ac:dyDescent="0.25">
      <c r="E2675" t="str">
        <f>"RET202112177865"</f>
        <v>RET202112177865</v>
      </c>
      <c r="F2675" t="str">
        <f>"TEXAS COUNTY &amp; DISTRICT RET"</f>
        <v>TEXAS COUNTY &amp; DISTRICT RET</v>
      </c>
      <c r="G2675" s="4">
        <v>4143.6899999999996</v>
      </c>
      <c r="H2675" t="str">
        <f>"TEXAS COUNTY &amp; DISTRICT RET"</f>
        <v>TEXAS COUNTY &amp; DISTRICT RET</v>
      </c>
    </row>
    <row r="2676" spans="1:8" x14ac:dyDescent="0.25">
      <c r="E2676" t="str">
        <f>""</f>
        <v/>
      </c>
      <c r="F2676" t="str">
        <f>""</f>
        <v/>
      </c>
      <c r="G2676" s="4">
        <v>2690.7</v>
      </c>
      <c r="H2676" t="str">
        <f>"TEXAS COUNTY &amp; DISTRICT RET"</f>
        <v>TEXAS COUNTY &amp; DISTRICT RET</v>
      </c>
    </row>
    <row r="2677" spans="1:8" x14ac:dyDescent="0.25">
      <c r="A2677" t="s">
        <v>431</v>
      </c>
      <c r="B2677">
        <v>48560</v>
      </c>
      <c r="C2677" s="4">
        <v>1856</v>
      </c>
      <c r="D2677" s="1">
        <v>44557</v>
      </c>
      <c r="E2677" t="str">
        <f>"LEG202112077701"</f>
        <v>LEG202112077701</v>
      </c>
      <c r="F2677" t="str">
        <f>"TEXAS LEGAL PROTECTION PLAN"</f>
        <v>TEXAS LEGAL PROTECTION PLAN</v>
      </c>
      <c r="G2677" s="4">
        <v>360</v>
      </c>
      <c r="H2677" t="str">
        <f>"TEXAS LEGAL PROTECTION PLAN"</f>
        <v>TEXAS LEGAL PROTECTION PLAN</v>
      </c>
    </row>
    <row r="2678" spans="1:8" x14ac:dyDescent="0.25">
      <c r="E2678" t="str">
        <f>"LEG202112177863"</f>
        <v>LEG202112177863</v>
      </c>
      <c r="F2678" t="str">
        <f>"TEXAS LEGAL PROTECTION PLAN"</f>
        <v>TEXAS LEGAL PROTECTION PLAN</v>
      </c>
      <c r="G2678" s="4">
        <v>360</v>
      </c>
      <c r="H2678" t="str">
        <f>"TEXAS LEGAL PROTECTION PLAN"</f>
        <v>TEXAS LEGAL PROTECTION PLAN</v>
      </c>
    </row>
    <row r="2679" spans="1:8" x14ac:dyDescent="0.25">
      <c r="E2679" t="str">
        <f>"LGF202112077701"</f>
        <v>LGF202112077701</v>
      </c>
      <c r="F2679" t="str">
        <f>"TEXAS LEGAL PROTECTION PLAN"</f>
        <v>TEXAS LEGAL PROTECTION PLAN</v>
      </c>
      <c r="G2679" s="4">
        <v>568</v>
      </c>
      <c r="H2679" t="str">
        <f>"TEXAS LEGAL PROTECTION PLAN"</f>
        <v>TEXAS LEGAL PROTECTION PLAN</v>
      </c>
    </row>
    <row r="2680" spans="1:8" x14ac:dyDescent="0.25">
      <c r="E2680" t="str">
        <f>"LGF202112177863"</f>
        <v>LGF202112177863</v>
      </c>
      <c r="F2680" t="str">
        <f>"TEXAS LEGAL PROTECTION PLAN"</f>
        <v>TEXAS LEGAL PROTECTION PLAN</v>
      </c>
      <c r="G2680" s="4">
        <v>568</v>
      </c>
      <c r="H2680" t="str">
        <f>"TEXAS LEGAL PROTECTION PLAN"</f>
        <v>TEXAS LEGAL PROTECTION PLAN</v>
      </c>
    </row>
    <row r="2681" spans="1:8" x14ac:dyDescent="0.25">
      <c r="A2681" t="s">
        <v>432</v>
      </c>
      <c r="B2681">
        <v>1517</v>
      </c>
      <c r="C2681" s="4">
        <v>157.22</v>
      </c>
      <c r="D2681" s="1">
        <v>44546</v>
      </c>
      <c r="E2681" t="str">
        <f>"202112157793"</f>
        <v>202112157793</v>
      </c>
      <c r="F2681" t="str">
        <f>"ACCT#72-6513 / 12032021"</f>
        <v>ACCT#72-6513 / 12032021</v>
      </c>
      <c r="G2681" s="4">
        <v>80.8</v>
      </c>
      <c r="H2681" t="str">
        <f t="shared" ref="H2681:H2721" si="56">"ACCT#72-6513 / 12032021"</f>
        <v>ACCT#72-6513 / 12032021</v>
      </c>
    </row>
    <row r="2682" spans="1:8" x14ac:dyDescent="0.25">
      <c r="E2682" t="str">
        <f>"202112157794"</f>
        <v>202112157794</v>
      </c>
      <c r="F2682" t="str">
        <f>"ACCT#72-6513 / 12032021"</f>
        <v>ACCT#72-6513 / 12032021</v>
      </c>
      <c r="G2682" s="4">
        <v>76.42</v>
      </c>
      <c r="H2682" t="str">
        <f t="shared" si="56"/>
        <v>ACCT#72-6513 / 12032021</v>
      </c>
    </row>
    <row r="2683" spans="1:8" x14ac:dyDescent="0.25">
      <c r="A2683" t="s">
        <v>433</v>
      </c>
      <c r="B2683">
        <v>1510</v>
      </c>
      <c r="C2683" s="4">
        <v>380.12</v>
      </c>
      <c r="D2683" s="1">
        <v>44546</v>
      </c>
      <c r="E2683" t="str">
        <f>"202112157785"</f>
        <v>202112157785</v>
      </c>
      <c r="F2683" t="str">
        <f>"ACCT#72-6513 / 12032021"</f>
        <v>ACCT#72-6513 / 12032021</v>
      </c>
      <c r="G2683" s="4">
        <v>33.97</v>
      </c>
      <c r="H2683" t="str">
        <f t="shared" si="56"/>
        <v>ACCT#72-6513 / 12032021</v>
      </c>
    </row>
    <row r="2684" spans="1:8" x14ac:dyDescent="0.25">
      <c r="E2684" t="str">
        <f>""</f>
        <v/>
      </c>
      <c r="F2684" t="str">
        <f>""</f>
        <v/>
      </c>
      <c r="G2684" s="4">
        <v>197.78</v>
      </c>
      <c r="H2684" t="str">
        <f t="shared" si="56"/>
        <v>ACCT#72-6513 / 12032021</v>
      </c>
    </row>
    <row r="2685" spans="1:8" x14ac:dyDescent="0.25">
      <c r="E2685" t="str">
        <f>""</f>
        <v/>
      </c>
      <c r="F2685" t="str">
        <f>""</f>
        <v/>
      </c>
      <c r="G2685" s="4">
        <v>148.37</v>
      </c>
      <c r="H2685" t="str">
        <f t="shared" si="56"/>
        <v>ACCT#72-6513 / 12032021</v>
      </c>
    </row>
    <row r="2686" spans="1:8" x14ac:dyDescent="0.25">
      <c r="A2686" t="s">
        <v>434</v>
      </c>
      <c r="B2686">
        <v>1499</v>
      </c>
      <c r="C2686" s="4">
        <v>378</v>
      </c>
      <c r="D2686" s="1">
        <v>44546</v>
      </c>
      <c r="E2686" t="str">
        <f>"202112157774"</f>
        <v>202112157774</v>
      </c>
      <c r="F2686" t="str">
        <f t="shared" ref="F2686:F2691" si="57">"ACCT#72-6513 / 12032021"</f>
        <v>ACCT#72-6513 / 12032021</v>
      </c>
      <c r="G2686" s="4">
        <v>378</v>
      </c>
      <c r="H2686" t="str">
        <f t="shared" si="56"/>
        <v>ACCT#72-6513 / 12032021</v>
      </c>
    </row>
    <row r="2687" spans="1:8" x14ac:dyDescent="0.25">
      <c r="A2687" t="s">
        <v>435</v>
      </c>
      <c r="B2687">
        <v>1496</v>
      </c>
      <c r="C2687" s="4">
        <v>499.99</v>
      </c>
      <c r="D2687" s="1">
        <v>44546</v>
      </c>
      <c r="E2687" t="str">
        <f>"202112157771"</f>
        <v>202112157771</v>
      </c>
      <c r="F2687" t="str">
        <f t="shared" si="57"/>
        <v>ACCT#72-6513 / 12032021</v>
      </c>
      <c r="G2687" s="4">
        <v>499.99</v>
      </c>
      <c r="H2687" t="str">
        <f t="shared" si="56"/>
        <v>ACCT#72-6513 / 12032021</v>
      </c>
    </row>
    <row r="2688" spans="1:8" x14ac:dyDescent="0.25">
      <c r="A2688" t="s">
        <v>436</v>
      </c>
      <c r="B2688">
        <v>1497</v>
      </c>
      <c r="C2688" s="4">
        <v>109.99</v>
      </c>
      <c r="D2688" s="1">
        <v>44546</v>
      </c>
      <c r="E2688" t="str">
        <f>"202112157772"</f>
        <v>202112157772</v>
      </c>
      <c r="F2688" t="str">
        <f t="shared" si="57"/>
        <v>ACCT#72-6513 / 12032021</v>
      </c>
      <c r="G2688" s="4">
        <v>109.99</v>
      </c>
      <c r="H2688" t="str">
        <f t="shared" si="56"/>
        <v>ACCT#72-6513 / 12032021</v>
      </c>
    </row>
    <row r="2689" spans="1:8" x14ac:dyDescent="0.25">
      <c r="A2689" t="s">
        <v>437</v>
      </c>
      <c r="B2689">
        <v>1503</v>
      </c>
      <c r="C2689" s="4">
        <v>175.3</v>
      </c>
      <c r="D2689" s="1">
        <v>44546</v>
      </c>
      <c r="E2689" t="str">
        <f>"202112157779"</f>
        <v>202112157779</v>
      </c>
      <c r="F2689" t="str">
        <f t="shared" si="57"/>
        <v>ACCT#72-6513 / 12032021</v>
      </c>
      <c r="G2689" s="4">
        <v>175.3</v>
      </c>
      <c r="H2689" t="str">
        <f t="shared" si="56"/>
        <v>ACCT#72-6513 / 12032021</v>
      </c>
    </row>
    <row r="2690" spans="1:8" x14ac:dyDescent="0.25">
      <c r="A2690" t="s">
        <v>438</v>
      </c>
      <c r="B2690">
        <v>1501</v>
      </c>
      <c r="C2690" s="4">
        <v>199</v>
      </c>
      <c r="D2690" s="1">
        <v>44546</v>
      </c>
      <c r="E2690" t="str">
        <f>"202112157777"</f>
        <v>202112157777</v>
      </c>
      <c r="F2690" t="str">
        <f t="shared" si="57"/>
        <v>ACCT#72-6513 / 12032021</v>
      </c>
      <c r="G2690" s="4">
        <v>199</v>
      </c>
      <c r="H2690" t="str">
        <f t="shared" si="56"/>
        <v>ACCT#72-6513 / 12032021</v>
      </c>
    </row>
    <row r="2691" spans="1:8" x14ac:dyDescent="0.25">
      <c r="A2691" t="s">
        <v>439</v>
      </c>
      <c r="B2691">
        <v>1493</v>
      </c>
      <c r="C2691" s="4">
        <v>283.23</v>
      </c>
      <c r="D2691" s="1">
        <v>44546</v>
      </c>
      <c r="E2691" t="str">
        <f>"202112157768"</f>
        <v>202112157768</v>
      </c>
      <c r="F2691" t="str">
        <f t="shared" si="57"/>
        <v>ACCT#72-6513 / 12032021</v>
      </c>
      <c r="G2691" s="4">
        <v>12.88</v>
      </c>
      <c r="H2691" t="str">
        <f t="shared" si="56"/>
        <v>ACCT#72-6513 / 12032021</v>
      </c>
    </row>
    <row r="2692" spans="1:8" x14ac:dyDescent="0.25">
      <c r="E2692" t="str">
        <f>""</f>
        <v/>
      </c>
      <c r="F2692" t="str">
        <f>""</f>
        <v/>
      </c>
      <c r="G2692" s="4">
        <v>4.6500000000000004</v>
      </c>
      <c r="H2692" t="str">
        <f t="shared" si="56"/>
        <v>ACCT#72-6513 / 12032021</v>
      </c>
    </row>
    <row r="2693" spans="1:8" x14ac:dyDescent="0.25">
      <c r="E2693" t="str">
        <f>""</f>
        <v/>
      </c>
      <c r="F2693" t="str">
        <f>""</f>
        <v/>
      </c>
      <c r="G2693" s="4">
        <v>235.74</v>
      </c>
      <c r="H2693" t="str">
        <f t="shared" si="56"/>
        <v>ACCT#72-6513 / 12032021</v>
      </c>
    </row>
    <row r="2694" spans="1:8" x14ac:dyDescent="0.25">
      <c r="E2694" t="str">
        <f>""</f>
        <v/>
      </c>
      <c r="F2694" t="str">
        <f>""</f>
        <v/>
      </c>
      <c r="G2694" s="4">
        <v>29.96</v>
      </c>
      <c r="H2694" t="str">
        <f t="shared" si="56"/>
        <v>ACCT#72-6513 / 12032021</v>
      </c>
    </row>
    <row r="2695" spans="1:8" x14ac:dyDescent="0.25">
      <c r="A2695" t="s">
        <v>440</v>
      </c>
      <c r="B2695">
        <v>1508</v>
      </c>
      <c r="C2695" s="4">
        <v>125</v>
      </c>
      <c r="D2695" s="1">
        <v>44546</v>
      </c>
      <c r="E2695" t="str">
        <f>"202112157784"</f>
        <v>202112157784</v>
      </c>
      <c r="F2695" t="str">
        <f>"ACCT#72-6513 / 12032021"</f>
        <v>ACCT#72-6513 / 12032021</v>
      </c>
      <c r="G2695" s="4">
        <v>125</v>
      </c>
      <c r="H2695" t="str">
        <f t="shared" si="56"/>
        <v>ACCT#72-6513 / 12032021</v>
      </c>
    </row>
    <row r="2696" spans="1:8" x14ac:dyDescent="0.25">
      <c r="A2696" t="s">
        <v>441</v>
      </c>
      <c r="B2696">
        <v>1514</v>
      </c>
      <c r="C2696" s="4">
        <v>63</v>
      </c>
      <c r="D2696" s="1">
        <v>44546</v>
      </c>
      <c r="E2696" t="str">
        <f>"202112157790"</f>
        <v>202112157790</v>
      </c>
      <c r="F2696" t="str">
        <f>"ACCT#72-6513 / 12032021"</f>
        <v>ACCT#72-6513 / 12032021</v>
      </c>
      <c r="G2696" s="4">
        <v>63</v>
      </c>
      <c r="H2696" t="str">
        <f t="shared" si="56"/>
        <v>ACCT#72-6513 / 12032021</v>
      </c>
    </row>
    <row r="2697" spans="1:8" x14ac:dyDescent="0.25">
      <c r="A2697" t="s">
        <v>140</v>
      </c>
      <c r="B2697">
        <v>1511</v>
      </c>
      <c r="C2697" s="4">
        <v>41</v>
      </c>
      <c r="D2697" s="1">
        <v>44546</v>
      </c>
      <c r="E2697" t="str">
        <f>"202112157787"</f>
        <v>202112157787</v>
      </c>
      <c r="F2697" t="str">
        <f>"ACCT#72-6513 / 12032021"</f>
        <v>ACCT#72-6513 / 12032021</v>
      </c>
      <c r="G2697" s="4">
        <v>41</v>
      </c>
      <c r="H2697" t="str">
        <f t="shared" si="56"/>
        <v>ACCT#72-6513 / 12032021</v>
      </c>
    </row>
    <row r="2698" spans="1:8" x14ac:dyDescent="0.25">
      <c r="A2698" t="s">
        <v>143</v>
      </c>
      <c r="B2698">
        <v>1491</v>
      </c>
      <c r="C2698" s="4">
        <v>286.94</v>
      </c>
      <c r="D2698" s="1">
        <v>44546</v>
      </c>
      <c r="E2698" t="str">
        <f>"202112157766"</f>
        <v>202112157766</v>
      </c>
      <c r="F2698" t="str">
        <f>"ACCT#72-6513 / 12032021"</f>
        <v>ACCT#72-6513 / 12032021</v>
      </c>
      <c r="G2698" s="4">
        <v>286.94</v>
      </c>
      <c r="H2698" t="str">
        <f t="shared" si="56"/>
        <v>ACCT#72-6513 / 12032021</v>
      </c>
    </row>
    <row r="2699" spans="1:8" x14ac:dyDescent="0.25">
      <c r="A2699" t="s">
        <v>442</v>
      </c>
      <c r="B2699">
        <v>1506</v>
      </c>
      <c r="C2699" s="4">
        <v>86.27</v>
      </c>
      <c r="D2699" s="1">
        <v>44546</v>
      </c>
      <c r="E2699" t="str">
        <f>"202112157782"</f>
        <v>202112157782</v>
      </c>
      <c r="F2699" t="str">
        <f>"ACCT#72-6513 / 12032021"</f>
        <v>ACCT#72-6513 / 12032021</v>
      </c>
      <c r="G2699" s="4">
        <v>44.93</v>
      </c>
      <c r="H2699" t="str">
        <f t="shared" si="56"/>
        <v>ACCT#72-6513 / 12032021</v>
      </c>
    </row>
    <row r="2700" spans="1:8" x14ac:dyDescent="0.25">
      <c r="E2700" t="str">
        <f>""</f>
        <v/>
      </c>
      <c r="F2700" t="str">
        <f>""</f>
        <v/>
      </c>
      <c r="G2700" s="4">
        <v>41.34</v>
      </c>
      <c r="H2700" t="str">
        <f t="shared" si="56"/>
        <v>ACCT#72-6513 / 12032021</v>
      </c>
    </row>
    <row r="2701" spans="1:8" x14ac:dyDescent="0.25">
      <c r="A2701" t="s">
        <v>443</v>
      </c>
      <c r="B2701">
        <v>1504</v>
      </c>
      <c r="C2701" s="4">
        <v>12.79</v>
      </c>
      <c r="D2701" s="1">
        <v>44546</v>
      </c>
      <c r="E2701" t="str">
        <f>"202112157780"</f>
        <v>202112157780</v>
      </c>
      <c r="F2701" t="str">
        <f>"ACCT#72-6513 / 12032021"</f>
        <v>ACCT#72-6513 / 12032021</v>
      </c>
      <c r="G2701" s="4">
        <v>12.79</v>
      </c>
      <c r="H2701" t="str">
        <f t="shared" si="56"/>
        <v>ACCT#72-6513 / 12032021</v>
      </c>
    </row>
    <row r="2702" spans="1:8" x14ac:dyDescent="0.25">
      <c r="A2702" t="s">
        <v>444</v>
      </c>
      <c r="B2702">
        <v>1509</v>
      </c>
      <c r="C2702" s="4">
        <v>343.51</v>
      </c>
      <c r="D2702" s="1">
        <v>44546</v>
      </c>
      <c r="E2702" t="str">
        <f>"202112157786"</f>
        <v>202112157786</v>
      </c>
      <c r="F2702" t="str">
        <f>"ACCT#72-6513 / 12032021"</f>
        <v>ACCT#72-6513 / 12032021</v>
      </c>
      <c r="G2702" s="4">
        <v>343.51</v>
      </c>
      <c r="H2702" t="str">
        <f t="shared" si="56"/>
        <v>ACCT#72-6513 / 12032021</v>
      </c>
    </row>
    <row r="2703" spans="1:8" x14ac:dyDescent="0.25">
      <c r="A2703" t="s">
        <v>445</v>
      </c>
      <c r="B2703">
        <v>1515</v>
      </c>
      <c r="C2703" s="4">
        <v>359.93</v>
      </c>
      <c r="D2703" s="1">
        <v>44546</v>
      </c>
      <c r="E2703" t="str">
        <f>"202112157791"</f>
        <v>202112157791</v>
      </c>
      <c r="F2703" t="str">
        <f>"ACCT#72-6513 / 12032021"</f>
        <v>ACCT#72-6513 / 12032021</v>
      </c>
      <c r="G2703" s="4">
        <v>359.93</v>
      </c>
      <c r="H2703" t="str">
        <f t="shared" si="56"/>
        <v>ACCT#72-6513 / 12032021</v>
      </c>
    </row>
    <row r="2704" spans="1:8" x14ac:dyDescent="0.25">
      <c r="A2704" t="s">
        <v>446</v>
      </c>
      <c r="B2704">
        <v>1512</v>
      </c>
      <c r="C2704" s="4">
        <v>200</v>
      </c>
      <c r="D2704" s="1">
        <v>44546</v>
      </c>
      <c r="E2704" t="str">
        <f>"202112157788"</f>
        <v>202112157788</v>
      </c>
      <c r="F2704" t="str">
        <f>"ACCT#72-6513 / 12032021"</f>
        <v>ACCT#72-6513 / 12032021</v>
      </c>
      <c r="G2704" s="4">
        <v>200</v>
      </c>
      <c r="H2704" t="str">
        <f t="shared" si="56"/>
        <v>ACCT#72-6513 / 12032021</v>
      </c>
    </row>
    <row r="2705" spans="1:8" x14ac:dyDescent="0.25">
      <c r="A2705" t="s">
        <v>179</v>
      </c>
      <c r="B2705">
        <v>1492</v>
      </c>
      <c r="C2705" s="4">
        <v>988.42</v>
      </c>
      <c r="D2705" s="1">
        <v>44546</v>
      </c>
      <c r="E2705" t="str">
        <f>"202112157767"</f>
        <v>202112157767</v>
      </c>
      <c r="F2705" t="str">
        <f>"ACCT#72-6513 / 12032021"</f>
        <v>ACCT#72-6513 / 12032021</v>
      </c>
      <c r="G2705" s="4">
        <v>980.06</v>
      </c>
      <c r="H2705" t="str">
        <f t="shared" si="56"/>
        <v>ACCT#72-6513 / 12032021</v>
      </c>
    </row>
    <row r="2706" spans="1:8" x14ac:dyDescent="0.25">
      <c r="E2706" t="str">
        <f>""</f>
        <v/>
      </c>
      <c r="F2706" t="str">
        <f>""</f>
        <v/>
      </c>
      <c r="G2706" s="4">
        <v>8.36</v>
      </c>
      <c r="H2706" t="str">
        <f t="shared" si="56"/>
        <v>ACCT#72-6513 / 12032021</v>
      </c>
    </row>
    <row r="2707" spans="1:8" x14ac:dyDescent="0.25">
      <c r="A2707" t="s">
        <v>447</v>
      </c>
      <c r="B2707">
        <v>1507</v>
      </c>
      <c r="C2707" s="4">
        <v>59.38</v>
      </c>
      <c r="D2707" s="1">
        <v>44546</v>
      </c>
      <c r="E2707" t="str">
        <f>"202112157783"</f>
        <v>202112157783</v>
      </c>
      <c r="F2707" t="str">
        <f>"ACCT#72-6513 / 12032021"</f>
        <v>ACCT#72-6513 / 12032021</v>
      </c>
      <c r="G2707" s="4">
        <v>59.38</v>
      </c>
      <c r="H2707" t="str">
        <f t="shared" si="56"/>
        <v>ACCT#72-6513 / 12032021</v>
      </c>
    </row>
    <row r="2708" spans="1:8" x14ac:dyDescent="0.25">
      <c r="A2708" t="s">
        <v>225</v>
      </c>
      <c r="B2708">
        <v>1490</v>
      </c>
      <c r="C2708" s="4">
        <v>630.19000000000005</v>
      </c>
      <c r="D2708" s="1">
        <v>44546</v>
      </c>
      <c r="E2708" t="str">
        <f>"202112157765"</f>
        <v>202112157765</v>
      </c>
      <c r="F2708" t="str">
        <f>"ACCT#72-6513 / 12032021"</f>
        <v>ACCT#72-6513 / 12032021</v>
      </c>
      <c r="G2708" s="4">
        <v>561.63</v>
      </c>
      <c r="H2708" t="str">
        <f t="shared" si="56"/>
        <v>ACCT#72-6513 / 12032021</v>
      </c>
    </row>
    <row r="2709" spans="1:8" x14ac:dyDescent="0.25">
      <c r="E2709" t="str">
        <f>""</f>
        <v/>
      </c>
      <c r="F2709" t="str">
        <f>""</f>
        <v/>
      </c>
      <c r="G2709" s="4">
        <v>68.56</v>
      </c>
      <c r="H2709" t="str">
        <f t="shared" si="56"/>
        <v>ACCT#72-6513 / 12032021</v>
      </c>
    </row>
    <row r="2710" spans="1:8" x14ac:dyDescent="0.25">
      <c r="A2710" t="s">
        <v>448</v>
      </c>
      <c r="B2710">
        <v>1505</v>
      </c>
      <c r="C2710" s="4">
        <v>1098.1400000000001</v>
      </c>
      <c r="D2710" s="1">
        <v>44546</v>
      </c>
      <c r="E2710" t="str">
        <f>"202112157781"</f>
        <v>202112157781</v>
      </c>
      <c r="F2710" t="str">
        <f t="shared" ref="F2710:F2720" si="58">"ACCT#72-6513 / 12032021"</f>
        <v>ACCT#72-6513 / 12032021</v>
      </c>
      <c r="G2710" s="4">
        <v>1098.1400000000001</v>
      </c>
      <c r="H2710" t="str">
        <f t="shared" si="56"/>
        <v>ACCT#72-6513 / 12032021</v>
      </c>
    </row>
    <row r="2711" spans="1:8" x14ac:dyDescent="0.25">
      <c r="A2711" t="s">
        <v>449</v>
      </c>
      <c r="B2711">
        <v>1500</v>
      </c>
      <c r="C2711" s="4">
        <v>3317.53</v>
      </c>
      <c r="D2711" s="1">
        <v>44546</v>
      </c>
      <c r="E2711" t="str">
        <f>"202112157776"</f>
        <v>202112157776</v>
      </c>
      <c r="F2711" t="str">
        <f t="shared" si="58"/>
        <v>ACCT#72-6513 / 12032021</v>
      </c>
      <c r="G2711" s="4">
        <v>3317.53</v>
      </c>
      <c r="H2711" t="str">
        <f t="shared" si="56"/>
        <v>ACCT#72-6513 / 12032021</v>
      </c>
    </row>
    <row r="2712" spans="1:8" x14ac:dyDescent="0.25">
      <c r="A2712" t="s">
        <v>266</v>
      </c>
      <c r="B2712">
        <v>1516</v>
      </c>
      <c r="C2712" s="4">
        <v>40.89</v>
      </c>
      <c r="D2712" s="1">
        <v>44546</v>
      </c>
      <c r="E2712" t="str">
        <f>"202112157792"</f>
        <v>202112157792</v>
      </c>
      <c r="F2712" t="str">
        <f t="shared" si="58"/>
        <v>ACCT#72-6513 / 12032021</v>
      </c>
      <c r="G2712" s="4">
        <v>40.89</v>
      </c>
      <c r="H2712" t="str">
        <f t="shared" si="56"/>
        <v>ACCT#72-6513 / 12032021</v>
      </c>
    </row>
    <row r="2713" spans="1:8" x14ac:dyDescent="0.25">
      <c r="A2713" t="s">
        <v>450</v>
      </c>
      <c r="B2713">
        <v>1502</v>
      </c>
      <c r="C2713" s="4">
        <v>173.38</v>
      </c>
      <c r="D2713" s="1">
        <v>44546</v>
      </c>
      <c r="E2713" t="str">
        <f>"202112157778"</f>
        <v>202112157778</v>
      </c>
      <c r="F2713" t="str">
        <f t="shared" si="58"/>
        <v>ACCT#72-6513 / 12032021</v>
      </c>
      <c r="G2713" s="4">
        <v>173.38</v>
      </c>
      <c r="H2713" t="str">
        <f t="shared" si="56"/>
        <v>ACCT#72-6513 / 12032021</v>
      </c>
    </row>
    <row r="2714" spans="1:8" x14ac:dyDescent="0.25">
      <c r="A2714" t="s">
        <v>451</v>
      </c>
      <c r="B2714">
        <v>1498</v>
      </c>
      <c r="C2714" s="4">
        <v>19.989999999999998</v>
      </c>
      <c r="D2714" s="1">
        <v>44546</v>
      </c>
      <c r="E2714" t="str">
        <f>"202112157773"</f>
        <v>202112157773</v>
      </c>
      <c r="F2714" t="str">
        <f t="shared" si="58"/>
        <v>ACCT#72-6513 / 12032021</v>
      </c>
      <c r="G2714" s="4">
        <v>19.989999999999998</v>
      </c>
      <c r="H2714" t="str">
        <f t="shared" si="56"/>
        <v>ACCT#72-6513 / 12032021</v>
      </c>
    </row>
    <row r="2715" spans="1:8" x14ac:dyDescent="0.25">
      <c r="A2715" t="s">
        <v>304</v>
      </c>
      <c r="B2715">
        <v>1513</v>
      </c>
      <c r="C2715" s="4">
        <v>1844.78</v>
      </c>
      <c r="D2715" s="1">
        <v>44546</v>
      </c>
      <c r="E2715" t="str">
        <f>"202112157789"</f>
        <v>202112157789</v>
      </c>
      <c r="F2715" t="str">
        <f t="shared" si="58"/>
        <v>ACCT#72-6513 / 12032021</v>
      </c>
      <c r="G2715" s="4">
        <v>1844.78</v>
      </c>
      <c r="H2715" t="str">
        <f t="shared" si="56"/>
        <v>ACCT#72-6513 / 12032021</v>
      </c>
    </row>
    <row r="2716" spans="1:8" x14ac:dyDescent="0.25">
      <c r="A2716" t="s">
        <v>452</v>
      </c>
      <c r="B2716">
        <v>1494</v>
      </c>
      <c r="C2716" s="4">
        <v>129.28</v>
      </c>
      <c r="D2716" s="1">
        <v>44546</v>
      </c>
      <c r="E2716" t="str">
        <f>"202112157769"</f>
        <v>202112157769</v>
      </c>
      <c r="F2716" t="str">
        <f t="shared" si="58"/>
        <v>ACCT#72-6513 / 12032021</v>
      </c>
      <c r="G2716" s="4">
        <v>129.28</v>
      </c>
      <c r="H2716" t="str">
        <f t="shared" si="56"/>
        <v>ACCT#72-6513 / 12032021</v>
      </c>
    </row>
    <row r="2717" spans="1:8" x14ac:dyDescent="0.25">
      <c r="A2717" t="s">
        <v>453</v>
      </c>
      <c r="B2717">
        <v>1518</v>
      </c>
      <c r="C2717" s="4">
        <v>150</v>
      </c>
      <c r="D2717" s="1">
        <v>44546</v>
      </c>
      <c r="E2717" t="str">
        <f>"202112157795"</f>
        <v>202112157795</v>
      </c>
      <c r="F2717" t="str">
        <f t="shared" si="58"/>
        <v>ACCT#72-6513 / 12032021</v>
      </c>
      <c r="G2717" s="4">
        <v>150</v>
      </c>
      <c r="H2717" t="str">
        <f t="shared" si="56"/>
        <v>ACCT#72-6513 / 12032021</v>
      </c>
    </row>
    <row r="2718" spans="1:8" x14ac:dyDescent="0.25">
      <c r="A2718" t="s">
        <v>454</v>
      </c>
      <c r="B2718">
        <v>1488</v>
      </c>
      <c r="C2718" s="4">
        <v>75</v>
      </c>
      <c r="D2718" s="1">
        <v>44546</v>
      </c>
      <c r="E2718" t="str">
        <f>"202112157763"</f>
        <v>202112157763</v>
      </c>
      <c r="F2718" t="str">
        <f t="shared" si="58"/>
        <v>ACCT#72-6513 / 12032021</v>
      </c>
      <c r="G2718" s="4">
        <v>75</v>
      </c>
      <c r="H2718" t="str">
        <f t="shared" si="56"/>
        <v>ACCT#72-6513 / 12032021</v>
      </c>
    </row>
    <row r="2719" spans="1:8" x14ac:dyDescent="0.25">
      <c r="A2719" t="s">
        <v>455</v>
      </c>
      <c r="B2719">
        <v>1489</v>
      </c>
      <c r="C2719" s="4">
        <v>361.44</v>
      </c>
      <c r="D2719" s="1">
        <v>44546</v>
      </c>
      <c r="E2719" t="str">
        <f>"202112157764"</f>
        <v>202112157764</v>
      </c>
      <c r="F2719" t="str">
        <f t="shared" si="58"/>
        <v>ACCT#72-6513 / 12032021</v>
      </c>
      <c r="G2719" s="4">
        <v>361.44</v>
      </c>
      <c r="H2719" t="str">
        <f t="shared" si="56"/>
        <v>ACCT#72-6513 / 12032021</v>
      </c>
    </row>
    <row r="2720" spans="1:8" x14ac:dyDescent="0.25">
      <c r="A2720" t="s">
        <v>456</v>
      </c>
      <c r="B2720">
        <v>1495</v>
      </c>
      <c r="C2720" s="4">
        <v>366.96</v>
      </c>
      <c r="D2720" s="1">
        <v>44546</v>
      </c>
      <c r="E2720" t="str">
        <f>"202112157770"</f>
        <v>202112157770</v>
      </c>
      <c r="F2720" t="str">
        <f t="shared" si="58"/>
        <v>ACCT#72-6513 / 12032021</v>
      </c>
      <c r="G2720" s="4">
        <v>99.84</v>
      </c>
      <c r="H2720" t="str">
        <f t="shared" si="56"/>
        <v>ACCT#72-6513 / 12032021</v>
      </c>
    </row>
    <row r="2721" spans="1:8" x14ac:dyDescent="0.25">
      <c r="E2721" t="str">
        <f>""</f>
        <v/>
      </c>
      <c r="F2721" t="str">
        <f>""</f>
        <v/>
      </c>
      <c r="G2721" s="4">
        <v>267.12</v>
      </c>
      <c r="H2721" t="str">
        <f t="shared" si="56"/>
        <v>ACCT#72-6513 / 12032021</v>
      </c>
    </row>
    <row r="2722" spans="1:8" ht="15.75" thickBot="1" x14ac:dyDescent="0.3">
      <c r="C2722" s="5">
        <f>SUM(C2:C2721)</f>
        <v>3844388.1500000004</v>
      </c>
      <c r="G2722" s="5">
        <f>SUM(G2:G2721)</f>
        <v>3844388.149999999</v>
      </c>
    </row>
    <row r="2723" spans="1:8" ht="9" customHeight="1" thickTop="1" x14ac:dyDescent="0.25"/>
    <row r="2724" spans="1:8" x14ac:dyDescent="0.25">
      <c r="A2724" t="s">
        <v>457</v>
      </c>
      <c r="B2724">
        <v>49187</v>
      </c>
      <c r="C2724" s="4">
        <v>-120</v>
      </c>
    </row>
    <row r="2725" spans="1:8" ht="9" customHeight="1" x14ac:dyDescent="0.25"/>
    <row r="2726" spans="1:8" ht="15.75" thickBot="1" x14ac:dyDescent="0.3">
      <c r="C2726" s="5">
        <f>SUM(C2722:C2724)</f>
        <v>3844268.1500000004</v>
      </c>
    </row>
    <row r="2727" spans="1:8" ht="15.75" thickTop="1" x14ac:dyDescent="0.25"/>
  </sheetData>
  <autoFilter ref="A1:H272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2022-01-13T17:38:05Z</dcterms:created>
  <dcterms:modified xsi:type="dcterms:W3CDTF">2022-01-13T18:12:58Z</dcterms:modified>
</cp:coreProperties>
</file>