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300"/>
  </bookViews>
  <sheets>
    <sheet name="2021-10-31" sheetId="1" r:id="rId1"/>
  </sheets>
  <definedNames>
    <definedName name="_xlnm._FilterDatabase" localSheetId="0" hidden="1">'2021-10-31'!$A$1:$H$1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12" i="1" l="1"/>
  <c r="G2911" i="1"/>
  <c r="C2911" i="1"/>
  <c r="C2913" i="1" s="1"/>
  <c r="H2910" i="1"/>
  <c r="F2910" i="1"/>
  <c r="E2910" i="1"/>
  <c r="H2909" i="1"/>
  <c r="F2909" i="1"/>
  <c r="E2909" i="1"/>
  <c r="H2908" i="1"/>
  <c r="F2908" i="1"/>
  <c r="E2908" i="1"/>
  <c r="H2907" i="1"/>
  <c r="F2907" i="1"/>
  <c r="E2907" i="1"/>
  <c r="H2906" i="1"/>
  <c r="F2906" i="1"/>
  <c r="E2906" i="1"/>
  <c r="H2905" i="1"/>
  <c r="F2905" i="1"/>
  <c r="E2905" i="1"/>
  <c r="H2904" i="1"/>
  <c r="F2904" i="1"/>
  <c r="E2904" i="1"/>
  <c r="H2903" i="1"/>
  <c r="F2903" i="1"/>
  <c r="E2903" i="1"/>
  <c r="H2902" i="1"/>
  <c r="F2902" i="1"/>
  <c r="E2902" i="1"/>
  <c r="H2901" i="1"/>
  <c r="F2901" i="1"/>
  <c r="E2901" i="1"/>
  <c r="H2900" i="1"/>
  <c r="F2900" i="1"/>
  <c r="E2900" i="1"/>
  <c r="H2899" i="1"/>
  <c r="F2899" i="1"/>
  <c r="E2899" i="1"/>
  <c r="H2898" i="1"/>
  <c r="F2898" i="1"/>
  <c r="E2898" i="1"/>
  <c r="H2897" i="1"/>
  <c r="F2897" i="1"/>
  <c r="E2897" i="1"/>
  <c r="H2896" i="1"/>
  <c r="F2896" i="1"/>
  <c r="E2896" i="1"/>
  <c r="H2895" i="1"/>
  <c r="F2895" i="1"/>
  <c r="E2895" i="1"/>
  <c r="H2894" i="1"/>
  <c r="F2894" i="1"/>
  <c r="E2894" i="1"/>
  <c r="H2893" i="1"/>
  <c r="F2893" i="1"/>
  <c r="E2893" i="1"/>
  <c r="H2892" i="1"/>
  <c r="F2892" i="1"/>
  <c r="E2892" i="1"/>
  <c r="H2891" i="1"/>
  <c r="F2891" i="1"/>
  <c r="E2891" i="1"/>
  <c r="H2890" i="1"/>
  <c r="F2890" i="1"/>
  <c r="E2890" i="1"/>
  <c r="H2889" i="1"/>
  <c r="F2889" i="1"/>
  <c r="E2889" i="1"/>
  <c r="H2888" i="1"/>
  <c r="F2888" i="1"/>
  <c r="E2888" i="1"/>
  <c r="H2887" i="1"/>
  <c r="F2887" i="1"/>
  <c r="E2887" i="1"/>
  <c r="H2886" i="1"/>
  <c r="F2886" i="1"/>
  <c r="E2886" i="1"/>
  <c r="H2885" i="1"/>
  <c r="F2885" i="1"/>
  <c r="E2885" i="1"/>
  <c r="H2884" i="1"/>
  <c r="F2884" i="1"/>
  <c r="E2884" i="1"/>
  <c r="H2883" i="1"/>
  <c r="F2883" i="1"/>
  <c r="E2883" i="1"/>
  <c r="H2882" i="1"/>
  <c r="F2882" i="1"/>
  <c r="E2882" i="1"/>
  <c r="H2881" i="1"/>
  <c r="F2881" i="1"/>
  <c r="E2881" i="1"/>
  <c r="H2880" i="1"/>
  <c r="F2880" i="1"/>
  <c r="E2880" i="1"/>
  <c r="H2879" i="1"/>
  <c r="F2879" i="1"/>
  <c r="E2879" i="1"/>
  <c r="H2878" i="1"/>
  <c r="F2878" i="1"/>
  <c r="E2878" i="1"/>
  <c r="H2877" i="1"/>
  <c r="F2877" i="1"/>
  <c r="E2877" i="1"/>
  <c r="H2876" i="1"/>
  <c r="F2876" i="1"/>
  <c r="E2876" i="1"/>
  <c r="H2875" i="1"/>
  <c r="F2875" i="1"/>
  <c r="E2875" i="1"/>
  <c r="H2874" i="1"/>
  <c r="F2874" i="1"/>
  <c r="E2874" i="1"/>
  <c r="H2873" i="1"/>
  <c r="F2873" i="1"/>
  <c r="E2873" i="1"/>
  <c r="H2872" i="1"/>
  <c r="F2872" i="1"/>
  <c r="E2872" i="1"/>
  <c r="H2871" i="1"/>
  <c r="F2871" i="1"/>
  <c r="E2871" i="1"/>
  <c r="H2870" i="1"/>
  <c r="F2870" i="1"/>
  <c r="E2870" i="1"/>
  <c r="H2869" i="1"/>
  <c r="F2869" i="1"/>
  <c r="E2869" i="1"/>
  <c r="H2868" i="1"/>
  <c r="F2868" i="1"/>
  <c r="E2868" i="1"/>
  <c r="H2867" i="1"/>
  <c r="F2867" i="1"/>
  <c r="E2867" i="1"/>
  <c r="H2866" i="1"/>
  <c r="F2866" i="1"/>
  <c r="E2866" i="1"/>
  <c r="H2865" i="1"/>
  <c r="F2865" i="1"/>
  <c r="E2865" i="1"/>
  <c r="H2864" i="1"/>
  <c r="F2864" i="1"/>
  <c r="E2864" i="1"/>
  <c r="H2863" i="1"/>
  <c r="F2863" i="1"/>
  <c r="E2863" i="1"/>
  <c r="H2862" i="1"/>
  <c r="F2862" i="1"/>
  <c r="E2862" i="1"/>
  <c r="H2861" i="1"/>
  <c r="F2861" i="1"/>
  <c r="E2861" i="1"/>
  <c r="H2860" i="1"/>
  <c r="F2860" i="1"/>
  <c r="E2860" i="1"/>
  <c r="H2859" i="1"/>
  <c r="F2859" i="1"/>
  <c r="E2859" i="1"/>
  <c r="H2858" i="1"/>
  <c r="F2858" i="1"/>
  <c r="E2858" i="1"/>
  <c r="H2857" i="1"/>
  <c r="F2857" i="1"/>
  <c r="E2857" i="1"/>
  <c r="H2856" i="1"/>
  <c r="F2856" i="1"/>
  <c r="E2856" i="1"/>
  <c r="H2855" i="1"/>
  <c r="F2855" i="1"/>
  <c r="E2855" i="1"/>
  <c r="H2854" i="1"/>
  <c r="F2854" i="1"/>
  <c r="E2854" i="1"/>
  <c r="H2853" i="1"/>
  <c r="F2853" i="1"/>
  <c r="E2853" i="1"/>
  <c r="H2852" i="1"/>
  <c r="F2852" i="1"/>
  <c r="E2852" i="1"/>
  <c r="H2851" i="1"/>
  <c r="F2851" i="1"/>
  <c r="E2851" i="1"/>
  <c r="H2850" i="1"/>
  <c r="F2850" i="1"/>
  <c r="E2850" i="1"/>
  <c r="H2849" i="1"/>
  <c r="F2849" i="1"/>
  <c r="E2849" i="1"/>
  <c r="H2848" i="1"/>
  <c r="F2848" i="1"/>
  <c r="E2848" i="1"/>
  <c r="H2847" i="1"/>
  <c r="F2847" i="1"/>
  <c r="E2847" i="1"/>
  <c r="H2846" i="1"/>
  <c r="F2846" i="1"/>
  <c r="E2846" i="1"/>
  <c r="H2845" i="1"/>
  <c r="F2845" i="1"/>
  <c r="E2845" i="1"/>
  <c r="H2844" i="1"/>
  <c r="F2844" i="1"/>
  <c r="E2844" i="1"/>
  <c r="H2843" i="1"/>
  <c r="F2843" i="1"/>
  <c r="E2843" i="1"/>
  <c r="H2842" i="1"/>
  <c r="F2842" i="1"/>
  <c r="E2842" i="1"/>
  <c r="H2841" i="1"/>
  <c r="F2841" i="1"/>
  <c r="E2841" i="1"/>
  <c r="H2840" i="1"/>
  <c r="F2840" i="1"/>
  <c r="E2840" i="1"/>
  <c r="H2839" i="1"/>
  <c r="F2839" i="1"/>
  <c r="E2839" i="1"/>
  <c r="H2838" i="1"/>
  <c r="F2838" i="1"/>
  <c r="E2838" i="1"/>
  <c r="H2837" i="1"/>
  <c r="F2837" i="1"/>
  <c r="E2837" i="1"/>
  <c r="H2836" i="1"/>
  <c r="F2836" i="1"/>
  <c r="E2836" i="1"/>
  <c r="H2835" i="1"/>
  <c r="F2835" i="1"/>
  <c r="E2835" i="1"/>
  <c r="H2834" i="1"/>
  <c r="F2834" i="1"/>
  <c r="E2834" i="1"/>
  <c r="H2833" i="1"/>
  <c r="F2833" i="1"/>
  <c r="E2833" i="1"/>
  <c r="H2832" i="1"/>
  <c r="F2832" i="1"/>
  <c r="E2832" i="1"/>
  <c r="H2831" i="1"/>
  <c r="F2831" i="1"/>
  <c r="E2831" i="1"/>
  <c r="H2830" i="1"/>
  <c r="F2830" i="1"/>
  <c r="E2830" i="1"/>
  <c r="H2829" i="1"/>
  <c r="F2829" i="1"/>
  <c r="E2829" i="1"/>
  <c r="H2828" i="1"/>
  <c r="F2828" i="1"/>
  <c r="E2828" i="1"/>
  <c r="H2827" i="1"/>
  <c r="F2827" i="1"/>
  <c r="E2827" i="1"/>
  <c r="H2826" i="1"/>
  <c r="F2826" i="1"/>
  <c r="E2826" i="1"/>
  <c r="H2825" i="1"/>
  <c r="F2825" i="1"/>
  <c r="E2825" i="1"/>
  <c r="H2824" i="1"/>
  <c r="F2824" i="1"/>
  <c r="E2824" i="1"/>
  <c r="H2823" i="1"/>
  <c r="F2823" i="1"/>
  <c r="E2823" i="1"/>
  <c r="H2822" i="1"/>
  <c r="F2822" i="1"/>
  <c r="E2822" i="1"/>
  <c r="H2821" i="1"/>
  <c r="F2821" i="1"/>
  <c r="E2821" i="1"/>
  <c r="H2820" i="1"/>
  <c r="F2820" i="1"/>
  <c r="E2820" i="1"/>
  <c r="H2819" i="1"/>
  <c r="F2819" i="1"/>
  <c r="E2819" i="1"/>
  <c r="H2818" i="1"/>
  <c r="F2818" i="1"/>
  <c r="E2818" i="1"/>
  <c r="H2817" i="1"/>
  <c r="F2817" i="1"/>
  <c r="E2817" i="1"/>
  <c r="H2816" i="1"/>
  <c r="F2816" i="1"/>
  <c r="E2816" i="1"/>
  <c r="H2815" i="1"/>
  <c r="F2815" i="1"/>
  <c r="E2815" i="1"/>
  <c r="H2814" i="1"/>
  <c r="F2814" i="1"/>
  <c r="E2814" i="1"/>
  <c r="H2813" i="1"/>
  <c r="F2813" i="1"/>
  <c r="E2813" i="1"/>
  <c r="H2812" i="1"/>
  <c r="F2812" i="1"/>
  <c r="E2812" i="1"/>
  <c r="H2811" i="1"/>
  <c r="F2811" i="1"/>
  <c r="E2811" i="1"/>
  <c r="H2810" i="1"/>
  <c r="F2810" i="1"/>
  <c r="E2810" i="1"/>
  <c r="H2809" i="1"/>
  <c r="F2809" i="1"/>
  <c r="E2809" i="1"/>
  <c r="H2808" i="1"/>
  <c r="F2808" i="1"/>
  <c r="E2808" i="1"/>
  <c r="H2807" i="1"/>
  <c r="F2807" i="1"/>
  <c r="E2807" i="1"/>
  <c r="H2806" i="1"/>
  <c r="F2806" i="1"/>
  <c r="E2806" i="1"/>
  <c r="H2805" i="1"/>
  <c r="F2805" i="1"/>
  <c r="E2805" i="1"/>
  <c r="H2804" i="1"/>
  <c r="F2804" i="1"/>
  <c r="E2804" i="1"/>
  <c r="H2803" i="1"/>
  <c r="F2803" i="1"/>
  <c r="E2803" i="1"/>
  <c r="H2802" i="1"/>
  <c r="F2802" i="1"/>
  <c r="E2802" i="1"/>
  <c r="H2801" i="1"/>
  <c r="F2801" i="1"/>
  <c r="E2801" i="1"/>
  <c r="H2800" i="1"/>
  <c r="F2800" i="1"/>
  <c r="E2800" i="1"/>
  <c r="H2799" i="1"/>
  <c r="F2799" i="1"/>
  <c r="E2799" i="1"/>
  <c r="H2798" i="1"/>
  <c r="F2798" i="1"/>
  <c r="E2798" i="1"/>
  <c r="H2797" i="1"/>
  <c r="F2797" i="1"/>
  <c r="E2797" i="1"/>
  <c r="H2796" i="1"/>
  <c r="F2796" i="1"/>
  <c r="E2796" i="1"/>
  <c r="H2795" i="1"/>
  <c r="F2795" i="1"/>
  <c r="E2795" i="1"/>
  <c r="H2794" i="1"/>
  <c r="F2794" i="1"/>
  <c r="E2794" i="1"/>
  <c r="H2793" i="1"/>
  <c r="F2793" i="1"/>
  <c r="E2793" i="1"/>
  <c r="H2792" i="1"/>
  <c r="F2792" i="1"/>
  <c r="E2792" i="1"/>
  <c r="H2791" i="1"/>
  <c r="F2791" i="1"/>
  <c r="E2791" i="1"/>
  <c r="H2790" i="1"/>
  <c r="F2790" i="1"/>
  <c r="E2790" i="1"/>
  <c r="H2789" i="1"/>
  <c r="F2789" i="1"/>
  <c r="E2789" i="1"/>
  <c r="H2788" i="1"/>
  <c r="F2788" i="1"/>
  <c r="E2788" i="1"/>
  <c r="H2787" i="1"/>
  <c r="F2787" i="1"/>
  <c r="E2787" i="1"/>
  <c r="H2786" i="1"/>
  <c r="F2786" i="1"/>
  <c r="E2786" i="1"/>
  <c r="H2785" i="1"/>
  <c r="F2785" i="1"/>
  <c r="E2785" i="1"/>
  <c r="H2784" i="1"/>
  <c r="F2784" i="1"/>
  <c r="E2784" i="1"/>
  <c r="H2783" i="1"/>
  <c r="F2783" i="1"/>
  <c r="E2783" i="1"/>
  <c r="H2782" i="1"/>
  <c r="F2782" i="1"/>
  <c r="E2782" i="1"/>
  <c r="H2781" i="1"/>
  <c r="F2781" i="1"/>
  <c r="E2781" i="1"/>
  <c r="H2780" i="1"/>
  <c r="F2780" i="1"/>
  <c r="E2780" i="1"/>
  <c r="H2779" i="1"/>
  <c r="F2779" i="1"/>
  <c r="E2779" i="1"/>
  <c r="H2778" i="1"/>
  <c r="F2778" i="1"/>
  <c r="E2778" i="1"/>
  <c r="H2777" i="1"/>
  <c r="F2777" i="1"/>
  <c r="E2777" i="1"/>
  <c r="H2776" i="1"/>
  <c r="F2776" i="1"/>
  <c r="E2776" i="1"/>
  <c r="H2775" i="1"/>
  <c r="F2775" i="1"/>
  <c r="E2775" i="1"/>
  <c r="H2774" i="1"/>
  <c r="F2774" i="1"/>
  <c r="E2774" i="1"/>
  <c r="H2773" i="1"/>
  <c r="F2773" i="1"/>
  <c r="E2773" i="1"/>
  <c r="H2772" i="1"/>
  <c r="F2772" i="1"/>
  <c r="E2772" i="1"/>
  <c r="H2771" i="1"/>
  <c r="F2771" i="1"/>
  <c r="E2771" i="1"/>
  <c r="H2770" i="1"/>
  <c r="F2770" i="1"/>
  <c r="E2770" i="1"/>
  <c r="H2769" i="1"/>
  <c r="F2769" i="1"/>
  <c r="E2769" i="1"/>
  <c r="H2768" i="1"/>
  <c r="F2768" i="1"/>
  <c r="E2768" i="1"/>
  <c r="H2767" i="1"/>
  <c r="F2767" i="1"/>
  <c r="E2767" i="1"/>
  <c r="H2766" i="1"/>
  <c r="F2766" i="1"/>
  <c r="E2766" i="1"/>
  <c r="H2765" i="1"/>
  <c r="F2765" i="1"/>
  <c r="E2765" i="1"/>
  <c r="H2764" i="1"/>
  <c r="F2764" i="1"/>
  <c r="E2764" i="1"/>
  <c r="H2763" i="1"/>
  <c r="F2763" i="1"/>
  <c r="E2763" i="1"/>
  <c r="H2762" i="1"/>
  <c r="F2762" i="1"/>
  <c r="E2762" i="1"/>
  <c r="H2761" i="1"/>
  <c r="F2761" i="1"/>
  <c r="E2761" i="1"/>
  <c r="H2760" i="1"/>
  <c r="F2760" i="1"/>
  <c r="E2760" i="1"/>
  <c r="H2759" i="1"/>
  <c r="F2759" i="1"/>
  <c r="E2759" i="1"/>
  <c r="H2758" i="1"/>
  <c r="F2758" i="1"/>
  <c r="E2758" i="1"/>
  <c r="H2757" i="1"/>
  <c r="F2757" i="1"/>
  <c r="E2757" i="1"/>
  <c r="H2756" i="1"/>
  <c r="F2756" i="1"/>
  <c r="E2756" i="1"/>
  <c r="H2755" i="1"/>
  <c r="F2755" i="1"/>
  <c r="E2755" i="1"/>
  <c r="H2754" i="1"/>
  <c r="F2754" i="1"/>
  <c r="E2754" i="1"/>
  <c r="H2753" i="1"/>
  <c r="F2753" i="1"/>
  <c r="E2753" i="1"/>
  <c r="H2752" i="1"/>
  <c r="F2752" i="1"/>
  <c r="E2752" i="1"/>
  <c r="H2751" i="1"/>
  <c r="F2751" i="1"/>
  <c r="E2751" i="1"/>
  <c r="H2750" i="1"/>
  <c r="F2750" i="1"/>
  <c r="E2750" i="1"/>
  <c r="H2749" i="1"/>
  <c r="F2749" i="1"/>
  <c r="E2749" i="1"/>
  <c r="H2748" i="1"/>
  <c r="F2748" i="1"/>
  <c r="E2748" i="1"/>
  <c r="H2747" i="1"/>
  <c r="F2747" i="1"/>
  <c r="E2747" i="1"/>
  <c r="H2746" i="1"/>
  <c r="F2746" i="1"/>
  <c r="E2746" i="1"/>
  <c r="H2745" i="1"/>
  <c r="F2745" i="1"/>
  <c r="E2745" i="1"/>
  <c r="H2744" i="1"/>
  <c r="F2744" i="1"/>
  <c r="E2744" i="1"/>
  <c r="H2743" i="1"/>
  <c r="F2743" i="1"/>
  <c r="E2743" i="1"/>
  <c r="H2742" i="1"/>
  <c r="F2742" i="1"/>
  <c r="E2742" i="1"/>
  <c r="H2741" i="1"/>
  <c r="F2741" i="1"/>
  <c r="E2741" i="1"/>
  <c r="H2740" i="1"/>
  <c r="F2740" i="1"/>
  <c r="E2740" i="1"/>
  <c r="H2739" i="1"/>
  <c r="F2739" i="1"/>
  <c r="E2739" i="1"/>
  <c r="H2738" i="1"/>
  <c r="F2738" i="1"/>
  <c r="E2738" i="1"/>
  <c r="H2737" i="1"/>
  <c r="F2737" i="1"/>
  <c r="E2737" i="1"/>
  <c r="H2736" i="1"/>
  <c r="F2736" i="1"/>
  <c r="E2736" i="1"/>
  <c r="H2735" i="1"/>
  <c r="F2735" i="1"/>
  <c r="E2735" i="1"/>
  <c r="H2734" i="1"/>
  <c r="F2734" i="1"/>
  <c r="E2734" i="1"/>
  <c r="H2733" i="1"/>
  <c r="F2733" i="1"/>
  <c r="E2733" i="1"/>
  <c r="H2732" i="1"/>
  <c r="F2732" i="1"/>
  <c r="E2732" i="1"/>
  <c r="H2731" i="1"/>
  <c r="F2731" i="1"/>
  <c r="E2731" i="1"/>
  <c r="H2730" i="1"/>
  <c r="F2730" i="1"/>
  <c r="E2730" i="1"/>
  <c r="H2729" i="1"/>
  <c r="F2729" i="1"/>
  <c r="E2729" i="1"/>
  <c r="H2728" i="1"/>
  <c r="F2728" i="1"/>
  <c r="E2728" i="1"/>
  <c r="H2727" i="1"/>
  <c r="F2727" i="1"/>
  <c r="E2727" i="1"/>
  <c r="H2726" i="1"/>
  <c r="F2726" i="1"/>
  <c r="E2726" i="1"/>
  <c r="H2725" i="1"/>
  <c r="F2725" i="1"/>
  <c r="E2725" i="1"/>
  <c r="H2724" i="1"/>
  <c r="F2724" i="1"/>
  <c r="E2724" i="1"/>
  <c r="H2723" i="1"/>
  <c r="F2723" i="1"/>
  <c r="E2723" i="1"/>
  <c r="H2722" i="1"/>
  <c r="F2722" i="1"/>
  <c r="E2722" i="1"/>
  <c r="H2721" i="1"/>
  <c r="F2721" i="1"/>
  <c r="E2721" i="1"/>
  <c r="H2720" i="1"/>
  <c r="F2720" i="1"/>
  <c r="E2720" i="1"/>
  <c r="H2719" i="1"/>
  <c r="F2719" i="1"/>
  <c r="E2719" i="1"/>
  <c r="H2718" i="1"/>
  <c r="F2718" i="1"/>
  <c r="E2718" i="1"/>
  <c r="H2717" i="1"/>
  <c r="F2717" i="1"/>
  <c r="E2717" i="1"/>
  <c r="H2716" i="1"/>
  <c r="F2716" i="1"/>
  <c r="E2716" i="1"/>
  <c r="H2715" i="1"/>
  <c r="F2715" i="1"/>
  <c r="E2715" i="1"/>
  <c r="H2714" i="1"/>
  <c r="F2714" i="1"/>
  <c r="E2714" i="1"/>
  <c r="H2713" i="1"/>
  <c r="F2713" i="1"/>
  <c r="E2713" i="1"/>
  <c r="H2712" i="1"/>
  <c r="F2712" i="1"/>
  <c r="E2712" i="1"/>
  <c r="H2711" i="1"/>
  <c r="F2711" i="1"/>
  <c r="E2711" i="1"/>
  <c r="H2710" i="1"/>
  <c r="F2710" i="1"/>
  <c r="E2710" i="1"/>
  <c r="H2709" i="1"/>
  <c r="F2709" i="1"/>
  <c r="E2709" i="1"/>
  <c r="H2708" i="1"/>
  <c r="F2708" i="1"/>
  <c r="E2708" i="1"/>
  <c r="H2707" i="1"/>
  <c r="F2707" i="1"/>
  <c r="E2707" i="1"/>
  <c r="H2706" i="1"/>
  <c r="F2706" i="1"/>
  <c r="E2706" i="1"/>
  <c r="H2705" i="1"/>
  <c r="F2705" i="1"/>
  <c r="E2705" i="1"/>
  <c r="H2704" i="1"/>
  <c r="F2704" i="1"/>
  <c r="E2704" i="1"/>
  <c r="H2703" i="1"/>
  <c r="F2703" i="1"/>
  <c r="E2703" i="1"/>
  <c r="H2702" i="1"/>
  <c r="F2702" i="1"/>
  <c r="E2702" i="1"/>
  <c r="H2701" i="1"/>
  <c r="F2701" i="1"/>
  <c r="E2701" i="1"/>
  <c r="H2700" i="1"/>
  <c r="F2700" i="1"/>
  <c r="E2700" i="1"/>
  <c r="H2699" i="1"/>
  <c r="F2699" i="1"/>
  <c r="E2699" i="1"/>
  <c r="H2698" i="1"/>
  <c r="F2698" i="1"/>
  <c r="E2698" i="1"/>
  <c r="H2697" i="1"/>
  <c r="F2697" i="1"/>
  <c r="E2697" i="1"/>
  <c r="H2696" i="1"/>
  <c r="F2696" i="1"/>
  <c r="E2696" i="1"/>
  <c r="H2695" i="1"/>
  <c r="F2695" i="1"/>
  <c r="E2695" i="1"/>
  <c r="H2694" i="1"/>
  <c r="F2694" i="1"/>
  <c r="E2694" i="1"/>
  <c r="H2693" i="1"/>
  <c r="F2693" i="1"/>
  <c r="E2693" i="1"/>
  <c r="H2692" i="1"/>
  <c r="F2692" i="1"/>
  <c r="E2692" i="1"/>
  <c r="H2691" i="1"/>
  <c r="F2691" i="1"/>
  <c r="E2691" i="1"/>
  <c r="H2690" i="1"/>
  <c r="F2690" i="1"/>
  <c r="E2690" i="1"/>
  <c r="H2689" i="1"/>
  <c r="F2689" i="1"/>
  <c r="E2689" i="1"/>
  <c r="H2688" i="1"/>
  <c r="F2688" i="1"/>
  <c r="E2688" i="1"/>
  <c r="H2687" i="1"/>
  <c r="F2687" i="1"/>
  <c r="E2687" i="1"/>
  <c r="H2686" i="1"/>
  <c r="F2686" i="1"/>
  <c r="E2686" i="1"/>
  <c r="H2685" i="1"/>
  <c r="F2685" i="1"/>
  <c r="E2685" i="1"/>
  <c r="H2684" i="1"/>
  <c r="F2684" i="1"/>
  <c r="E2684" i="1"/>
  <c r="H2683" i="1"/>
  <c r="F2683" i="1"/>
  <c r="E2683" i="1"/>
  <c r="H2682" i="1"/>
  <c r="F2682" i="1"/>
  <c r="E2682" i="1"/>
  <c r="H2681" i="1"/>
  <c r="F2681" i="1"/>
  <c r="E2681" i="1"/>
  <c r="H2680" i="1"/>
  <c r="F2680" i="1"/>
  <c r="E2680" i="1"/>
  <c r="H2679" i="1"/>
  <c r="F2679" i="1"/>
  <c r="E2679" i="1"/>
  <c r="H2678" i="1"/>
  <c r="F2678" i="1"/>
  <c r="E2678" i="1"/>
  <c r="H2677" i="1"/>
  <c r="F2677" i="1"/>
  <c r="E2677" i="1"/>
  <c r="H2676" i="1"/>
  <c r="F2676" i="1"/>
  <c r="E2676" i="1"/>
  <c r="H2675" i="1"/>
  <c r="F2675" i="1"/>
  <c r="E2675" i="1"/>
  <c r="H2674" i="1"/>
  <c r="F2674" i="1"/>
  <c r="E2674" i="1"/>
  <c r="H2673" i="1"/>
  <c r="F2673" i="1"/>
  <c r="E2673" i="1"/>
  <c r="H2672" i="1"/>
  <c r="F2672" i="1"/>
  <c r="E2672" i="1"/>
  <c r="H2671" i="1"/>
  <c r="F2671" i="1"/>
  <c r="E2671" i="1"/>
  <c r="H2670" i="1"/>
  <c r="F2670" i="1"/>
  <c r="E2670" i="1"/>
  <c r="H2669" i="1"/>
  <c r="F2669" i="1"/>
  <c r="E2669" i="1"/>
  <c r="H2668" i="1"/>
  <c r="F2668" i="1"/>
  <c r="E2668" i="1"/>
  <c r="H2667" i="1"/>
  <c r="F2667" i="1"/>
  <c r="E2667" i="1"/>
  <c r="H2666" i="1"/>
  <c r="F2666" i="1"/>
  <c r="E2666" i="1"/>
  <c r="H2665" i="1"/>
  <c r="F2665" i="1"/>
  <c r="E2665" i="1"/>
  <c r="H2664" i="1"/>
  <c r="F2664" i="1"/>
  <c r="E2664" i="1"/>
  <c r="H2663" i="1"/>
  <c r="F2663" i="1"/>
  <c r="E2663" i="1"/>
  <c r="H2662" i="1"/>
  <c r="F2662" i="1"/>
  <c r="E2662" i="1"/>
  <c r="H2661" i="1"/>
  <c r="F2661" i="1"/>
  <c r="E2661" i="1"/>
  <c r="H2660" i="1"/>
  <c r="F2660" i="1"/>
  <c r="E2660" i="1"/>
  <c r="H2659" i="1"/>
  <c r="F2659" i="1"/>
  <c r="E2659" i="1"/>
  <c r="H2658" i="1"/>
  <c r="F2658" i="1"/>
  <c r="E2658" i="1"/>
  <c r="H2657" i="1"/>
  <c r="F2657" i="1"/>
  <c r="E2657" i="1"/>
  <c r="H2656" i="1"/>
  <c r="F2656" i="1"/>
  <c r="E2656" i="1"/>
  <c r="H2655" i="1"/>
  <c r="F2655" i="1"/>
  <c r="E2655" i="1"/>
  <c r="H2654" i="1"/>
  <c r="F2654" i="1"/>
  <c r="E2654" i="1"/>
  <c r="H2653" i="1"/>
  <c r="F2653" i="1"/>
  <c r="E2653" i="1"/>
  <c r="H2652" i="1"/>
  <c r="F2652" i="1"/>
  <c r="E2652" i="1"/>
  <c r="H2651" i="1"/>
  <c r="F2651" i="1"/>
  <c r="E2651" i="1"/>
  <c r="H2650" i="1"/>
  <c r="F2650" i="1"/>
  <c r="E2650" i="1"/>
  <c r="H2649" i="1"/>
  <c r="F2649" i="1"/>
  <c r="E2649" i="1"/>
  <c r="H2648" i="1"/>
  <c r="F2648" i="1"/>
  <c r="E2648" i="1"/>
  <c r="H2647" i="1"/>
  <c r="F2647" i="1"/>
  <c r="E2647" i="1"/>
  <c r="H2646" i="1"/>
  <c r="F2646" i="1"/>
  <c r="E2646" i="1"/>
  <c r="H2645" i="1"/>
  <c r="F2645" i="1"/>
  <c r="E2645" i="1"/>
  <c r="H2644" i="1"/>
  <c r="F2644" i="1"/>
  <c r="E2644" i="1"/>
  <c r="H2643" i="1"/>
  <c r="F2643" i="1"/>
  <c r="E2643" i="1"/>
  <c r="H2642" i="1"/>
  <c r="F2642" i="1"/>
  <c r="E2642" i="1"/>
  <c r="H2641" i="1"/>
  <c r="F2641" i="1"/>
  <c r="E2641" i="1"/>
  <c r="H2640" i="1"/>
  <c r="F2640" i="1"/>
  <c r="E2640" i="1"/>
  <c r="H2639" i="1"/>
  <c r="F2639" i="1"/>
  <c r="E2639" i="1"/>
  <c r="H2638" i="1"/>
  <c r="F2638" i="1"/>
  <c r="E2638" i="1"/>
  <c r="H2637" i="1"/>
  <c r="F2637" i="1"/>
  <c r="E2637" i="1"/>
  <c r="H2636" i="1"/>
  <c r="F2636" i="1"/>
  <c r="E2636" i="1"/>
  <c r="H2635" i="1"/>
  <c r="F2635" i="1"/>
  <c r="E2635" i="1"/>
  <c r="H2634" i="1"/>
  <c r="F2634" i="1"/>
  <c r="E2634" i="1"/>
  <c r="H2633" i="1"/>
  <c r="F2633" i="1"/>
  <c r="E2633" i="1"/>
  <c r="H2632" i="1"/>
  <c r="F2632" i="1"/>
  <c r="E2632" i="1"/>
  <c r="H2631" i="1"/>
  <c r="F2631" i="1"/>
  <c r="E2631" i="1"/>
  <c r="H2630" i="1"/>
  <c r="F2630" i="1"/>
  <c r="E2630" i="1"/>
  <c r="H2629" i="1"/>
  <c r="F2629" i="1"/>
  <c r="E2629" i="1"/>
  <c r="H2628" i="1"/>
  <c r="F2628" i="1"/>
  <c r="E2628" i="1"/>
  <c r="H2627" i="1"/>
  <c r="F2627" i="1"/>
  <c r="E2627" i="1"/>
  <c r="H2626" i="1"/>
  <c r="F2626" i="1"/>
  <c r="E2626" i="1"/>
  <c r="H2625" i="1"/>
  <c r="F2625" i="1"/>
  <c r="E2625" i="1"/>
  <c r="H2624" i="1"/>
  <c r="F2624" i="1"/>
  <c r="E2624" i="1"/>
  <c r="H2623" i="1"/>
  <c r="F2623" i="1"/>
  <c r="E2623" i="1"/>
  <c r="H2622" i="1"/>
  <c r="F2622" i="1"/>
  <c r="E2622" i="1"/>
  <c r="H2621" i="1"/>
  <c r="F2621" i="1"/>
  <c r="E2621" i="1"/>
  <c r="H2620" i="1"/>
  <c r="F2620" i="1"/>
  <c r="E2620" i="1"/>
  <c r="H2619" i="1"/>
  <c r="F2619" i="1"/>
  <c r="E2619" i="1"/>
  <c r="H2618" i="1"/>
  <c r="F2618" i="1"/>
  <c r="E2618" i="1"/>
  <c r="H2617" i="1"/>
  <c r="F2617" i="1"/>
  <c r="E2617" i="1"/>
  <c r="H2616" i="1"/>
  <c r="F2616" i="1"/>
  <c r="E2616" i="1"/>
  <c r="H2615" i="1"/>
  <c r="F2615" i="1"/>
  <c r="E2615" i="1"/>
  <c r="H2614" i="1"/>
  <c r="F2614" i="1"/>
  <c r="E2614" i="1"/>
  <c r="H2613" i="1"/>
  <c r="F2613" i="1"/>
  <c r="E2613" i="1"/>
  <c r="H2612" i="1"/>
  <c r="F2612" i="1"/>
  <c r="E2612" i="1"/>
  <c r="H2611" i="1"/>
  <c r="F2611" i="1"/>
  <c r="E2611" i="1"/>
  <c r="H2610" i="1"/>
  <c r="F2610" i="1"/>
  <c r="E2610" i="1"/>
  <c r="H2609" i="1"/>
  <c r="F2609" i="1"/>
  <c r="E2609" i="1"/>
  <c r="H2608" i="1"/>
  <c r="F2608" i="1"/>
  <c r="E2608" i="1"/>
  <c r="H2607" i="1"/>
  <c r="F2607" i="1"/>
  <c r="E2607" i="1"/>
  <c r="H2606" i="1"/>
  <c r="F2606" i="1"/>
  <c r="E2606" i="1"/>
  <c r="H2605" i="1"/>
  <c r="F2605" i="1"/>
  <c r="E2605" i="1"/>
  <c r="H2604" i="1"/>
  <c r="F2604" i="1"/>
  <c r="E2604" i="1"/>
  <c r="H2603" i="1"/>
  <c r="F2603" i="1"/>
  <c r="E2603" i="1"/>
  <c r="H2602" i="1"/>
  <c r="F2602" i="1"/>
  <c r="E2602" i="1"/>
  <c r="H2601" i="1"/>
  <c r="F2601" i="1"/>
  <c r="E2601" i="1"/>
  <c r="H2600" i="1"/>
  <c r="F2600" i="1"/>
  <c r="E2600" i="1"/>
  <c r="H2599" i="1"/>
  <c r="F2599" i="1"/>
  <c r="E2599" i="1"/>
  <c r="H2598" i="1"/>
  <c r="F2598" i="1"/>
  <c r="E2598" i="1"/>
  <c r="H2597" i="1"/>
  <c r="F2597" i="1"/>
  <c r="E2597" i="1"/>
  <c r="H2596" i="1"/>
  <c r="F2596" i="1"/>
  <c r="E2596" i="1"/>
  <c r="H2595" i="1"/>
  <c r="F2595" i="1"/>
  <c r="E2595" i="1"/>
  <c r="H2594" i="1"/>
  <c r="F2594" i="1"/>
  <c r="E2594" i="1"/>
  <c r="H2593" i="1"/>
  <c r="F2593" i="1"/>
  <c r="E2593" i="1"/>
  <c r="H2592" i="1"/>
  <c r="F2592" i="1"/>
  <c r="E2592" i="1"/>
  <c r="H2591" i="1"/>
  <c r="F2591" i="1"/>
  <c r="E2591" i="1"/>
  <c r="H2590" i="1"/>
  <c r="F2590" i="1"/>
  <c r="E2590" i="1"/>
  <c r="H2589" i="1"/>
  <c r="F2589" i="1"/>
  <c r="E2589" i="1"/>
  <c r="H2588" i="1"/>
  <c r="F2588" i="1"/>
  <c r="E2588" i="1"/>
  <c r="H2587" i="1"/>
  <c r="F2587" i="1"/>
  <c r="E2587" i="1"/>
  <c r="H2586" i="1"/>
  <c r="F2586" i="1"/>
  <c r="E2586" i="1"/>
  <c r="H2585" i="1"/>
  <c r="F2585" i="1"/>
  <c r="E2585" i="1"/>
  <c r="H2584" i="1"/>
  <c r="F2584" i="1"/>
  <c r="E2584" i="1"/>
  <c r="H2583" i="1"/>
  <c r="F2583" i="1"/>
  <c r="E2583" i="1"/>
  <c r="H2582" i="1"/>
  <c r="F2582" i="1"/>
  <c r="E2582" i="1"/>
  <c r="H2581" i="1"/>
  <c r="F2581" i="1"/>
  <c r="E2581" i="1"/>
  <c r="H2580" i="1"/>
  <c r="F2580" i="1"/>
  <c r="E2580" i="1"/>
  <c r="H2579" i="1"/>
  <c r="F2579" i="1"/>
  <c r="E2579" i="1"/>
  <c r="H2578" i="1"/>
  <c r="F2578" i="1"/>
  <c r="E2578" i="1"/>
  <c r="H2577" i="1"/>
  <c r="F2577" i="1"/>
  <c r="E2577" i="1"/>
  <c r="H2576" i="1"/>
  <c r="F2576" i="1"/>
  <c r="E2576" i="1"/>
  <c r="H2575" i="1"/>
  <c r="F2575" i="1"/>
  <c r="E2575" i="1"/>
  <c r="H2574" i="1"/>
  <c r="F2574" i="1"/>
  <c r="E2574" i="1"/>
  <c r="H2573" i="1"/>
  <c r="F2573" i="1"/>
  <c r="E2573" i="1"/>
  <c r="H2572" i="1"/>
  <c r="F2572" i="1"/>
  <c r="E2572" i="1"/>
  <c r="H2571" i="1"/>
  <c r="F2571" i="1"/>
  <c r="E2571" i="1"/>
  <c r="H2570" i="1"/>
  <c r="F2570" i="1"/>
  <c r="E2570" i="1"/>
  <c r="H2569" i="1"/>
  <c r="F2569" i="1"/>
  <c r="E2569" i="1"/>
  <c r="H2568" i="1"/>
  <c r="F2568" i="1"/>
  <c r="E2568" i="1"/>
  <c r="H2567" i="1"/>
  <c r="F2567" i="1"/>
  <c r="E2567" i="1"/>
  <c r="H2566" i="1"/>
  <c r="F2566" i="1"/>
  <c r="E2566" i="1"/>
  <c r="H2565" i="1"/>
  <c r="F2565" i="1"/>
  <c r="E2565" i="1"/>
  <c r="H2564" i="1"/>
  <c r="F2564" i="1"/>
  <c r="E2564" i="1"/>
  <c r="H2563" i="1"/>
  <c r="F2563" i="1"/>
  <c r="E2563" i="1"/>
  <c r="H2562" i="1"/>
  <c r="F2562" i="1"/>
  <c r="E2562" i="1"/>
  <c r="H2561" i="1"/>
  <c r="F2561" i="1"/>
  <c r="E2561" i="1"/>
  <c r="H2560" i="1"/>
  <c r="F2560" i="1"/>
  <c r="E2560" i="1"/>
  <c r="H2559" i="1"/>
  <c r="F2559" i="1"/>
  <c r="E2559" i="1"/>
  <c r="H2558" i="1"/>
  <c r="F2558" i="1"/>
  <c r="E2558" i="1"/>
  <c r="H2557" i="1"/>
  <c r="F2557" i="1"/>
  <c r="E2557" i="1"/>
  <c r="H2556" i="1"/>
  <c r="F2556" i="1"/>
  <c r="E2556" i="1"/>
  <c r="H2555" i="1"/>
  <c r="F2555" i="1"/>
  <c r="E2555" i="1"/>
  <c r="H2554" i="1"/>
  <c r="F2554" i="1"/>
  <c r="E2554" i="1"/>
  <c r="H2553" i="1"/>
  <c r="F2553" i="1"/>
  <c r="E2553" i="1"/>
  <c r="H2552" i="1"/>
  <c r="F2552" i="1"/>
  <c r="E2552" i="1"/>
  <c r="H2551" i="1"/>
  <c r="F2551" i="1"/>
  <c r="E2551" i="1"/>
  <c r="H2550" i="1"/>
  <c r="F2550" i="1"/>
  <c r="E2550" i="1"/>
  <c r="H2549" i="1"/>
  <c r="F2549" i="1"/>
  <c r="E2549" i="1"/>
  <c r="H2548" i="1"/>
  <c r="F2548" i="1"/>
  <c r="E2548" i="1"/>
  <c r="H2547" i="1"/>
  <c r="F2547" i="1"/>
  <c r="E2547" i="1"/>
  <c r="H2546" i="1"/>
  <c r="F2546" i="1"/>
  <c r="E2546" i="1"/>
  <c r="H2545" i="1"/>
  <c r="F2545" i="1"/>
  <c r="E2545" i="1"/>
  <c r="H2544" i="1"/>
  <c r="F2544" i="1"/>
  <c r="E2544" i="1"/>
  <c r="H2543" i="1"/>
  <c r="F2543" i="1"/>
  <c r="E2543" i="1"/>
  <c r="H2542" i="1"/>
  <c r="F2542" i="1"/>
  <c r="E2542" i="1"/>
  <c r="H2541" i="1"/>
  <c r="F2541" i="1"/>
  <c r="E2541" i="1"/>
  <c r="H2540" i="1"/>
  <c r="F2540" i="1"/>
  <c r="E2540" i="1"/>
  <c r="H2539" i="1"/>
  <c r="F2539" i="1"/>
  <c r="E2539" i="1"/>
  <c r="H2538" i="1"/>
  <c r="F2538" i="1"/>
  <c r="E2538" i="1"/>
  <c r="H2537" i="1"/>
  <c r="F2537" i="1"/>
  <c r="E2537" i="1"/>
  <c r="H2536" i="1"/>
  <c r="F2536" i="1"/>
  <c r="E2536" i="1"/>
  <c r="H2535" i="1"/>
  <c r="F2535" i="1"/>
  <c r="E2535" i="1"/>
  <c r="H2534" i="1"/>
  <c r="F2534" i="1"/>
  <c r="E2534" i="1"/>
  <c r="H2533" i="1"/>
  <c r="F2533" i="1"/>
  <c r="E2533" i="1"/>
  <c r="H2532" i="1"/>
  <c r="F2532" i="1"/>
  <c r="E2532" i="1"/>
  <c r="H2531" i="1"/>
  <c r="F2531" i="1"/>
  <c r="E2531" i="1"/>
  <c r="H2530" i="1"/>
  <c r="F2530" i="1"/>
  <c r="E2530" i="1"/>
  <c r="H2529" i="1"/>
  <c r="F2529" i="1"/>
  <c r="E2529" i="1"/>
  <c r="H2528" i="1"/>
  <c r="F2528" i="1"/>
  <c r="E2528" i="1"/>
  <c r="H2527" i="1"/>
  <c r="F2527" i="1"/>
  <c r="E2527" i="1"/>
  <c r="H2526" i="1"/>
  <c r="F2526" i="1"/>
  <c r="E2526" i="1"/>
  <c r="H2525" i="1"/>
  <c r="F2525" i="1"/>
  <c r="E2525" i="1"/>
  <c r="H2524" i="1"/>
  <c r="F2524" i="1"/>
  <c r="E2524" i="1"/>
  <c r="H2523" i="1"/>
  <c r="F2523" i="1"/>
  <c r="E2523" i="1"/>
  <c r="H2522" i="1"/>
  <c r="F2522" i="1"/>
  <c r="E2522" i="1"/>
  <c r="H2521" i="1"/>
  <c r="F2521" i="1"/>
  <c r="E2521" i="1"/>
  <c r="H2520" i="1"/>
  <c r="F2520" i="1"/>
  <c r="E2520" i="1"/>
  <c r="H2519" i="1"/>
  <c r="F2519" i="1"/>
  <c r="E2519" i="1"/>
  <c r="H2518" i="1"/>
  <c r="F2518" i="1"/>
  <c r="E2518" i="1"/>
  <c r="H2517" i="1"/>
  <c r="F2517" i="1"/>
  <c r="E2517" i="1"/>
  <c r="H2516" i="1"/>
  <c r="F2516" i="1"/>
  <c r="E2516" i="1"/>
  <c r="H2515" i="1"/>
  <c r="F2515" i="1"/>
  <c r="E2515" i="1"/>
  <c r="H2514" i="1"/>
  <c r="F2514" i="1"/>
  <c r="E2514" i="1"/>
  <c r="H2513" i="1"/>
  <c r="F2513" i="1"/>
  <c r="E2513" i="1"/>
  <c r="H2512" i="1"/>
  <c r="F2512" i="1"/>
  <c r="E2512" i="1"/>
  <c r="H2511" i="1"/>
  <c r="F2511" i="1"/>
  <c r="E2511" i="1"/>
  <c r="H2510" i="1"/>
  <c r="F2510" i="1"/>
  <c r="E2510" i="1"/>
  <c r="H2509" i="1"/>
  <c r="F2509" i="1"/>
  <c r="E2509" i="1"/>
  <c r="H2508" i="1"/>
  <c r="F2508" i="1"/>
  <c r="E2508" i="1"/>
  <c r="H2507" i="1"/>
  <c r="F2507" i="1"/>
  <c r="E2507" i="1"/>
  <c r="H2506" i="1"/>
  <c r="F2506" i="1"/>
  <c r="E2506" i="1"/>
  <c r="H2505" i="1"/>
  <c r="F2505" i="1"/>
  <c r="E2505" i="1"/>
  <c r="H2504" i="1"/>
  <c r="F2504" i="1"/>
  <c r="E2504" i="1"/>
  <c r="H2503" i="1"/>
  <c r="F2503" i="1"/>
  <c r="E2503" i="1"/>
  <c r="H2502" i="1"/>
  <c r="F2502" i="1"/>
  <c r="E2502" i="1"/>
  <c r="H2501" i="1"/>
  <c r="F2501" i="1"/>
  <c r="E2501" i="1"/>
  <c r="H2500" i="1"/>
  <c r="F2500" i="1"/>
  <c r="E2500" i="1"/>
  <c r="H2499" i="1"/>
  <c r="F2499" i="1"/>
  <c r="E2499" i="1"/>
  <c r="H2498" i="1"/>
  <c r="F2498" i="1"/>
  <c r="E2498" i="1"/>
  <c r="H2497" i="1"/>
  <c r="F2497" i="1"/>
  <c r="E2497" i="1"/>
  <c r="H2496" i="1"/>
  <c r="F2496" i="1"/>
  <c r="E2496" i="1"/>
  <c r="H2495" i="1"/>
  <c r="F2495" i="1"/>
  <c r="E2495" i="1"/>
  <c r="H2494" i="1"/>
  <c r="F2494" i="1"/>
  <c r="E2494" i="1"/>
  <c r="H2493" i="1"/>
  <c r="F2493" i="1"/>
  <c r="E2493" i="1"/>
  <c r="H2492" i="1"/>
  <c r="F2492" i="1"/>
  <c r="E2492" i="1"/>
  <c r="H2491" i="1"/>
  <c r="F2491" i="1"/>
  <c r="E2491" i="1"/>
  <c r="H2490" i="1"/>
  <c r="F2490" i="1"/>
  <c r="E2490" i="1"/>
  <c r="H2489" i="1"/>
  <c r="F2489" i="1"/>
  <c r="E2489" i="1"/>
  <c r="H2488" i="1"/>
  <c r="F2488" i="1"/>
  <c r="E2488" i="1"/>
  <c r="H2487" i="1"/>
  <c r="F2487" i="1"/>
  <c r="E2487" i="1"/>
  <c r="H2486" i="1"/>
  <c r="F2486" i="1"/>
  <c r="E2486" i="1"/>
  <c r="H2485" i="1"/>
  <c r="F2485" i="1"/>
  <c r="E2485" i="1"/>
  <c r="H2484" i="1"/>
  <c r="F2484" i="1"/>
  <c r="E2484" i="1"/>
  <c r="H2483" i="1"/>
  <c r="F2483" i="1"/>
  <c r="E2483" i="1"/>
  <c r="H2482" i="1"/>
  <c r="F2482" i="1"/>
  <c r="E2482" i="1"/>
  <c r="H2481" i="1"/>
  <c r="F2481" i="1"/>
  <c r="E2481" i="1"/>
  <c r="H2480" i="1"/>
  <c r="F2480" i="1"/>
  <c r="E2480" i="1"/>
  <c r="H2479" i="1"/>
  <c r="F2479" i="1"/>
  <c r="E2479" i="1"/>
  <c r="H2478" i="1"/>
  <c r="F2478" i="1"/>
  <c r="E2478" i="1"/>
  <c r="H2477" i="1"/>
  <c r="F2477" i="1"/>
  <c r="E2477" i="1"/>
  <c r="H2476" i="1"/>
  <c r="F2476" i="1"/>
  <c r="E2476" i="1"/>
  <c r="H2475" i="1"/>
  <c r="F2475" i="1"/>
  <c r="E2475" i="1"/>
  <c r="H2474" i="1"/>
  <c r="F2474" i="1"/>
  <c r="E2474" i="1"/>
  <c r="H2473" i="1"/>
  <c r="F2473" i="1"/>
  <c r="E2473" i="1"/>
  <c r="H2472" i="1"/>
  <c r="F2472" i="1"/>
  <c r="E2472" i="1"/>
  <c r="H2471" i="1"/>
  <c r="F2471" i="1"/>
  <c r="E2471" i="1"/>
  <c r="H2470" i="1"/>
  <c r="F2470" i="1"/>
  <c r="E2470" i="1"/>
  <c r="H2469" i="1"/>
  <c r="F2469" i="1"/>
  <c r="E2469" i="1"/>
  <c r="H2468" i="1"/>
  <c r="F2468" i="1"/>
  <c r="E2468" i="1"/>
  <c r="H2467" i="1"/>
  <c r="F2467" i="1"/>
  <c r="E2467" i="1"/>
  <c r="H2466" i="1"/>
  <c r="F2466" i="1"/>
  <c r="E2466" i="1"/>
  <c r="H2465" i="1"/>
  <c r="F2465" i="1"/>
  <c r="E2465" i="1"/>
  <c r="H2464" i="1"/>
  <c r="F2464" i="1"/>
  <c r="E2464" i="1"/>
  <c r="H2463" i="1"/>
  <c r="F2463" i="1"/>
  <c r="E2463" i="1"/>
  <c r="H2462" i="1"/>
  <c r="F2462" i="1"/>
  <c r="E2462" i="1"/>
  <c r="H2461" i="1"/>
  <c r="F2461" i="1"/>
  <c r="E2461" i="1"/>
  <c r="H2460" i="1"/>
  <c r="F2460" i="1"/>
  <c r="E2460" i="1"/>
  <c r="H2459" i="1"/>
  <c r="F2459" i="1"/>
  <c r="E2459" i="1"/>
  <c r="H2458" i="1"/>
  <c r="F2458" i="1"/>
  <c r="E2458" i="1"/>
  <c r="H2457" i="1"/>
  <c r="F2457" i="1"/>
  <c r="E2457" i="1"/>
  <c r="H2456" i="1"/>
  <c r="F2456" i="1"/>
  <c r="E2456" i="1"/>
  <c r="H2455" i="1"/>
  <c r="F2455" i="1"/>
  <c r="E2455" i="1"/>
  <c r="H2454" i="1"/>
  <c r="F2454" i="1"/>
  <c r="E2454" i="1"/>
  <c r="H2453" i="1"/>
  <c r="F2453" i="1"/>
  <c r="E2453" i="1"/>
  <c r="H2452" i="1"/>
  <c r="F2452" i="1"/>
  <c r="E2452" i="1"/>
  <c r="H2451" i="1"/>
  <c r="F2451" i="1"/>
  <c r="E2451" i="1"/>
  <c r="H2450" i="1"/>
  <c r="F2450" i="1"/>
  <c r="E2450" i="1"/>
  <c r="H2449" i="1"/>
  <c r="F2449" i="1"/>
  <c r="E2449" i="1"/>
  <c r="H2448" i="1"/>
  <c r="F2448" i="1"/>
  <c r="E2448" i="1"/>
  <c r="H2447" i="1"/>
  <c r="F2447" i="1"/>
  <c r="E2447" i="1"/>
  <c r="H2446" i="1"/>
  <c r="F2446" i="1"/>
  <c r="E2446" i="1"/>
  <c r="H2445" i="1"/>
  <c r="F2445" i="1"/>
  <c r="E2445" i="1"/>
  <c r="H2444" i="1"/>
  <c r="F2444" i="1"/>
  <c r="E2444" i="1"/>
  <c r="H2443" i="1"/>
  <c r="F2443" i="1"/>
  <c r="E2443" i="1"/>
  <c r="H2442" i="1"/>
  <c r="F2442" i="1"/>
  <c r="E2442" i="1"/>
  <c r="H2441" i="1"/>
  <c r="F2441" i="1"/>
  <c r="E2441" i="1"/>
  <c r="H2440" i="1"/>
  <c r="F2440" i="1"/>
  <c r="E2440" i="1"/>
  <c r="H2439" i="1"/>
  <c r="F2439" i="1"/>
  <c r="E2439" i="1"/>
  <c r="H2438" i="1"/>
  <c r="F2438" i="1"/>
  <c r="E2438" i="1"/>
  <c r="H2437" i="1"/>
  <c r="F2437" i="1"/>
  <c r="E2437" i="1"/>
  <c r="H2436" i="1"/>
  <c r="F2436" i="1"/>
  <c r="E2436" i="1"/>
  <c r="H2435" i="1"/>
  <c r="F2435" i="1"/>
  <c r="E2435" i="1"/>
  <c r="H2434" i="1"/>
  <c r="F2434" i="1"/>
  <c r="E2434" i="1"/>
  <c r="H2433" i="1"/>
  <c r="F2433" i="1"/>
  <c r="E2433" i="1"/>
  <c r="H2432" i="1"/>
  <c r="F2432" i="1"/>
  <c r="E2432" i="1"/>
  <c r="H2431" i="1"/>
  <c r="F2431" i="1"/>
  <c r="E2431" i="1"/>
  <c r="H2430" i="1"/>
  <c r="F2430" i="1"/>
  <c r="E2430" i="1"/>
  <c r="H2429" i="1"/>
  <c r="F2429" i="1"/>
  <c r="E2429" i="1"/>
  <c r="H2428" i="1"/>
  <c r="F2428" i="1"/>
  <c r="E2428" i="1"/>
  <c r="H2427" i="1"/>
  <c r="F2427" i="1"/>
  <c r="E2427" i="1"/>
  <c r="H2426" i="1"/>
  <c r="F2426" i="1"/>
  <c r="E2426" i="1"/>
  <c r="H2425" i="1"/>
  <c r="F2425" i="1"/>
  <c r="E2425" i="1"/>
  <c r="H2424" i="1"/>
  <c r="F2424" i="1"/>
  <c r="E2424" i="1"/>
  <c r="H2423" i="1"/>
  <c r="F2423" i="1"/>
  <c r="E2423" i="1"/>
  <c r="H2422" i="1"/>
  <c r="F2422" i="1"/>
  <c r="E2422" i="1"/>
  <c r="H2421" i="1"/>
  <c r="F2421" i="1"/>
  <c r="E2421" i="1"/>
  <c r="H2420" i="1"/>
  <c r="F2420" i="1"/>
  <c r="E2420" i="1"/>
  <c r="H2419" i="1"/>
  <c r="F2419" i="1"/>
  <c r="E2419" i="1"/>
  <c r="H2418" i="1"/>
  <c r="F2418" i="1"/>
  <c r="E2418" i="1"/>
  <c r="H2417" i="1"/>
  <c r="F2417" i="1"/>
  <c r="E2417" i="1"/>
  <c r="H2416" i="1"/>
  <c r="F2416" i="1"/>
  <c r="E2416" i="1"/>
  <c r="H2415" i="1"/>
  <c r="F2415" i="1"/>
  <c r="E2415" i="1"/>
  <c r="H2414" i="1"/>
  <c r="F2414" i="1"/>
  <c r="E2414" i="1"/>
  <c r="H2413" i="1"/>
  <c r="F2413" i="1"/>
  <c r="E2413" i="1"/>
  <c r="H2412" i="1"/>
  <c r="F2412" i="1"/>
  <c r="E2412" i="1"/>
  <c r="H2411" i="1"/>
  <c r="F2411" i="1"/>
  <c r="E2411" i="1"/>
  <c r="H2410" i="1"/>
  <c r="F2410" i="1"/>
  <c r="E2410" i="1"/>
  <c r="H2409" i="1"/>
  <c r="F2409" i="1"/>
  <c r="E2409" i="1"/>
  <c r="H2408" i="1"/>
  <c r="F2408" i="1"/>
  <c r="E2408" i="1"/>
  <c r="H2407" i="1"/>
  <c r="F2407" i="1"/>
  <c r="E2407" i="1"/>
  <c r="H2406" i="1"/>
  <c r="F2406" i="1"/>
  <c r="E2406" i="1"/>
  <c r="H2405" i="1"/>
  <c r="F2405" i="1"/>
  <c r="E2405" i="1"/>
  <c r="H2404" i="1"/>
  <c r="F2404" i="1"/>
  <c r="E2404" i="1"/>
  <c r="H2403" i="1"/>
  <c r="F2403" i="1"/>
  <c r="E2403" i="1"/>
  <c r="H2402" i="1"/>
  <c r="F2402" i="1"/>
  <c r="E2402" i="1"/>
  <c r="H2401" i="1"/>
  <c r="F2401" i="1"/>
  <c r="E2401" i="1"/>
  <c r="H2400" i="1"/>
  <c r="F2400" i="1"/>
  <c r="E2400" i="1"/>
  <c r="H2399" i="1"/>
  <c r="F2399" i="1"/>
  <c r="E2399" i="1"/>
  <c r="H2398" i="1"/>
  <c r="F2398" i="1"/>
  <c r="E2398" i="1"/>
  <c r="H2397" i="1"/>
  <c r="F2397" i="1"/>
  <c r="E2397" i="1"/>
  <c r="H2396" i="1"/>
  <c r="F2396" i="1"/>
  <c r="E2396" i="1"/>
  <c r="H2395" i="1"/>
  <c r="F2395" i="1"/>
  <c r="E2395" i="1"/>
  <c r="H2394" i="1"/>
  <c r="F2394" i="1"/>
  <c r="E2394" i="1"/>
  <c r="H2393" i="1"/>
  <c r="F2393" i="1"/>
  <c r="E2393" i="1"/>
  <c r="H2392" i="1"/>
  <c r="F2392" i="1"/>
  <c r="E2392" i="1"/>
  <c r="H2391" i="1"/>
  <c r="F2391" i="1"/>
  <c r="E2391" i="1"/>
  <c r="H2390" i="1"/>
  <c r="F2390" i="1"/>
  <c r="E2390" i="1"/>
  <c r="H2389" i="1"/>
  <c r="F2389" i="1"/>
  <c r="E2389" i="1"/>
  <c r="H2388" i="1"/>
  <c r="F2388" i="1"/>
  <c r="E2388" i="1"/>
  <c r="H2387" i="1"/>
  <c r="F2387" i="1"/>
  <c r="E2387" i="1"/>
  <c r="H2386" i="1"/>
  <c r="F2386" i="1"/>
  <c r="E2386" i="1"/>
  <c r="H2385" i="1"/>
  <c r="F2385" i="1"/>
  <c r="E2385" i="1"/>
  <c r="H2384" i="1"/>
  <c r="F2384" i="1"/>
  <c r="E2384" i="1"/>
  <c r="H2383" i="1"/>
  <c r="F2383" i="1"/>
  <c r="E2383" i="1"/>
  <c r="H2382" i="1"/>
  <c r="F2382" i="1"/>
  <c r="E2382" i="1"/>
  <c r="H2381" i="1"/>
  <c r="F2381" i="1"/>
  <c r="E2381" i="1"/>
  <c r="H2380" i="1"/>
  <c r="F2380" i="1"/>
  <c r="E2380" i="1"/>
  <c r="H2379" i="1"/>
  <c r="F2379" i="1"/>
  <c r="E2379" i="1"/>
  <c r="H2378" i="1"/>
  <c r="F2378" i="1"/>
  <c r="E2378" i="1"/>
  <c r="H2377" i="1"/>
  <c r="F2377" i="1"/>
  <c r="E2377" i="1"/>
  <c r="H2376" i="1"/>
  <c r="F2376" i="1"/>
  <c r="E2376" i="1"/>
  <c r="H2375" i="1"/>
  <c r="F2375" i="1"/>
  <c r="E2375" i="1"/>
  <c r="H2374" i="1"/>
  <c r="F2374" i="1"/>
  <c r="E2374" i="1"/>
  <c r="H2373" i="1"/>
  <c r="F2373" i="1"/>
  <c r="E2373" i="1"/>
  <c r="H2372" i="1"/>
  <c r="F2372" i="1"/>
  <c r="E2372" i="1"/>
  <c r="H2371" i="1"/>
  <c r="F2371" i="1"/>
  <c r="E2371" i="1"/>
  <c r="H2370" i="1"/>
  <c r="F2370" i="1"/>
  <c r="E2370" i="1"/>
  <c r="H2369" i="1"/>
  <c r="F2369" i="1"/>
  <c r="E2369" i="1"/>
  <c r="H2368" i="1"/>
  <c r="F2368" i="1"/>
  <c r="E2368" i="1"/>
  <c r="H2367" i="1"/>
  <c r="F2367" i="1"/>
  <c r="E2367" i="1"/>
  <c r="H2366" i="1"/>
  <c r="F2366" i="1"/>
  <c r="E2366" i="1"/>
  <c r="H2365" i="1"/>
  <c r="F2365" i="1"/>
  <c r="E2365" i="1"/>
  <c r="H2364" i="1"/>
  <c r="F2364" i="1"/>
  <c r="E2364" i="1"/>
  <c r="H2363" i="1"/>
  <c r="F2363" i="1"/>
  <c r="E2363" i="1"/>
  <c r="H2362" i="1"/>
  <c r="F2362" i="1"/>
  <c r="E2362" i="1"/>
  <c r="H2361" i="1"/>
  <c r="F2361" i="1"/>
  <c r="E2361" i="1"/>
  <c r="H2360" i="1"/>
  <c r="F2360" i="1"/>
  <c r="E2360" i="1"/>
  <c r="H2359" i="1"/>
  <c r="F2359" i="1"/>
  <c r="E2359" i="1"/>
  <c r="H2358" i="1"/>
  <c r="F2358" i="1"/>
  <c r="E2358" i="1"/>
  <c r="H2357" i="1"/>
  <c r="F2357" i="1"/>
  <c r="E2357" i="1"/>
  <c r="H2356" i="1"/>
  <c r="F2356" i="1"/>
  <c r="E2356" i="1"/>
  <c r="H2355" i="1"/>
  <c r="F2355" i="1"/>
  <c r="E2355" i="1"/>
  <c r="H2354" i="1"/>
  <c r="F2354" i="1"/>
  <c r="E2354" i="1"/>
  <c r="H2353" i="1"/>
  <c r="F2353" i="1"/>
  <c r="E2353" i="1"/>
  <c r="H2352" i="1"/>
  <c r="F2352" i="1"/>
  <c r="E2352" i="1"/>
  <c r="H2351" i="1"/>
  <c r="F2351" i="1"/>
  <c r="E2351" i="1"/>
  <c r="H2350" i="1"/>
  <c r="F2350" i="1"/>
  <c r="E2350" i="1"/>
  <c r="H2349" i="1"/>
  <c r="F2349" i="1"/>
  <c r="E2349" i="1"/>
  <c r="H2348" i="1"/>
  <c r="F2348" i="1"/>
  <c r="E2348" i="1"/>
  <c r="H2347" i="1"/>
  <c r="F2347" i="1"/>
  <c r="E2347" i="1"/>
  <c r="H2346" i="1"/>
  <c r="F2346" i="1"/>
  <c r="E2346" i="1"/>
  <c r="H2345" i="1"/>
  <c r="F2345" i="1"/>
  <c r="E2345" i="1"/>
  <c r="H2344" i="1"/>
  <c r="F2344" i="1"/>
  <c r="E2344" i="1"/>
  <c r="H2343" i="1"/>
  <c r="F2343" i="1"/>
  <c r="E2343" i="1"/>
  <c r="H2342" i="1"/>
  <c r="F2342" i="1"/>
  <c r="E2342" i="1"/>
  <c r="H2341" i="1"/>
  <c r="F2341" i="1"/>
  <c r="E2341" i="1"/>
  <c r="H2340" i="1"/>
  <c r="F2340" i="1"/>
  <c r="E2340" i="1"/>
  <c r="H2339" i="1"/>
  <c r="F2339" i="1"/>
  <c r="E2339" i="1"/>
  <c r="H2338" i="1"/>
  <c r="F2338" i="1"/>
  <c r="E2338" i="1"/>
  <c r="H2337" i="1"/>
  <c r="F2337" i="1"/>
  <c r="E2337" i="1"/>
  <c r="H2336" i="1"/>
  <c r="F2336" i="1"/>
  <c r="E2336" i="1"/>
  <c r="H2335" i="1"/>
  <c r="F2335" i="1"/>
  <c r="E2335" i="1"/>
  <c r="H2334" i="1"/>
  <c r="F2334" i="1"/>
  <c r="E2334" i="1"/>
  <c r="H2333" i="1"/>
  <c r="F2333" i="1"/>
  <c r="E2333" i="1"/>
  <c r="H2332" i="1"/>
  <c r="F2332" i="1"/>
  <c r="E2332" i="1"/>
  <c r="H2331" i="1"/>
  <c r="F2331" i="1"/>
  <c r="E2331" i="1"/>
  <c r="H2330" i="1"/>
  <c r="F2330" i="1"/>
  <c r="E2330" i="1"/>
  <c r="H2329" i="1"/>
  <c r="F2329" i="1"/>
  <c r="E2329" i="1"/>
  <c r="H2328" i="1"/>
  <c r="F2328" i="1"/>
  <c r="E2328" i="1"/>
  <c r="H2327" i="1"/>
  <c r="F2327" i="1"/>
  <c r="E2327" i="1"/>
  <c r="H2326" i="1"/>
  <c r="F2326" i="1"/>
  <c r="E2326" i="1"/>
  <c r="H2325" i="1"/>
  <c r="F2325" i="1"/>
  <c r="E2325" i="1"/>
  <c r="H2324" i="1"/>
  <c r="F2324" i="1"/>
  <c r="E2324" i="1"/>
  <c r="H2323" i="1"/>
  <c r="F2323" i="1"/>
  <c r="E2323" i="1"/>
  <c r="H2322" i="1"/>
  <c r="F2322" i="1"/>
  <c r="E2322" i="1"/>
  <c r="H2321" i="1"/>
  <c r="F2321" i="1"/>
  <c r="E2321" i="1"/>
  <c r="H2320" i="1"/>
  <c r="F2320" i="1"/>
  <c r="E2320" i="1"/>
  <c r="H2319" i="1"/>
  <c r="F2319" i="1"/>
  <c r="E2319" i="1"/>
  <c r="H2318" i="1"/>
  <c r="F2318" i="1"/>
  <c r="E2318" i="1"/>
  <c r="H2317" i="1"/>
  <c r="F2317" i="1"/>
  <c r="E2317" i="1"/>
  <c r="H2316" i="1"/>
  <c r="F2316" i="1"/>
  <c r="E2316" i="1"/>
  <c r="H2315" i="1"/>
  <c r="F2315" i="1"/>
  <c r="E2315" i="1"/>
  <c r="H2314" i="1"/>
  <c r="F2314" i="1"/>
  <c r="E2314" i="1"/>
  <c r="H2313" i="1"/>
  <c r="F2313" i="1"/>
  <c r="E2313" i="1"/>
  <c r="H2312" i="1"/>
  <c r="F2312" i="1"/>
  <c r="E2312" i="1"/>
  <c r="H2311" i="1"/>
  <c r="F2311" i="1"/>
  <c r="E2311" i="1"/>
  <c r="H2310" i="1"/>
  <c r="F2310" i="1"/>
  <c r="E2310" i="1"/>
  <c r="H2309" i="1"/>
  <c r="F2309" i="1"/>
  <c r="E2309" i="1"/>
  <c r="H2308" i="1"/>
  <c r="F2308" i="1"/>
  <c r="E2308" i="1"/>
  <c r="H2307" i="1"/>
  <c r="F2307" i="1"/>
  <c r="E2307" i="1"/>
  <c r="H2306" i="1"/>
  <c r="F2306" i="1"/>
  <c r="E2306" i="1"/>
  <c r="H2305" i="1"/>
  <c r="F2305" i="1"/>
  <c r="E2305" i="1"/>
  <c r="H2304" i="1"/>
  <c r="F2304" i="1"/>
  <c r="E2304" i="1"/>
  <c r="H2303" i="1"/>
  <c r="F2303" i="1"/>
  <c r="E2303" i="1"/>
  <c r="H2302" i="1"/>
  <c r="F2302" i="1"/>
  <c r="E2302" i="1"/>
  <c r="H2301" i="1"/>
  <c r="F2301" i="1"/>
  <c r="E2301" i="1"/>
  <c r="H2300" i="1"/>
  <c r="F2300" i="1"/>
  <c r="E2300" i="1"/>
  <c r="H2299" i="1"/>
  <c r="F2299" i="1"/>
  <c r="E2299" i="1"/>
  <c r="H2298" i="1"/>
  <c r="F2298" i="1"/>
  <c r="E2298" i="1"/>
  <c r="H2297" i="1"/>
  <c r="F2297" i="1"/>
  <c r="E2297" i="1"/>
  <c r="H2296" i="1"/>
  <c r="F2296" i="1"/>
  <c r="E2296" i="1"/>
  <c r="H2295" i="1"/>
  <c r="F2295" i="1"/>
  <c r="E2295" i="1"/>
  <c r="H2294" i="1"/>
  <c r="F2294" i="1"/>
  <c r="E2294" i="1"/>
  <c r="H2293" i="1"/>
  <c r="F2293" i="1"/>
  <c r="E2293" i="1"/>
  <c r="H2292" i="1"/>
  <c r="F2292" i="1"/>
  <c r="E2292" i="1"/>
  <c r="H2291" i="1"/>
  <c r="F2291" i="1"/>
  <c r="E2291" i="1"/>
  <c r="H2290" i="1"/>
  <c r="F2290" i="1"/>
  <c r="E2290" i="1"/>
  <c r="H2289" i="1"/>
  <c r="F2289" i="1"/>
  <c r="E2289" i="1"/>
  <c r="H2288" i="1"/>
  <c r="F2288" i="1"/>
  <c r="E2288" i="1"/>
  <c r="H2287" i="1"/>
  <c r="F2287" i="1"/>
  <c r="E2287" i="1"/>
  <c r="H2286" i="1"/>
  <c r="F2286" i="1"/>
  <c r="E2286" i="1"/>
  <c r="H2285" i="1"/>
  <c r="F2285" i="1"/>
  <c r="E2285" i="1"/>
  <c r="H2284" i="1"/>
  <c r="F2284" i="1"/>
  <c r="E2284" i="1"/>
  <c r="H2283" i="1"/>
  <c r="F2283" i="1"/>
  <c r="E2283" i="1"/>
  <c r="H2282" i="1"/>
  <c r="F2282" i="1"/>
  <c r="E2282" i="1"/>
  <c r="H2281" i="1"/>
  <c r="F2281" i="1"/>
  <c r="E2281" i="1"/>
  <c r="H2280" i="1"/>
  <c r="F2280" i="1"/>
  <c r="E2280" i="1"/>
  <c r="H2279" i="1"/>
  <c r="F2279" i="1"/>
  <c r="E2279" i="1"/>
  <c r="H2278" i="1"/>
  <c r="F2278" i="1"/>
  <c r="E2278" i="1"/>
  <c r="H2277" i="1"/>
  <c r="F2277" i="1"/>
  <c r="E2277" i="1"/>
  <c r="H2276" i="1"/>
  <c r="F2276" i="1"/>
  <c r="E2276" i="1"/>
  <c r="H2275" i="1"/>
  <c r="F2275" i="1"/>
  <c r="E2275" i="1"/>
  <c r="H2274" i="1"/>
  <c r="F2274" i="1"/>
  <c r="E2274" i="1"/>
  <c r="H2273" i="1"/>
  <c r="F2273" i="1"/>
  <c r="E2273" i="1"/>
  <c r="H2272" i="1"/>
  <c r="F2272" i="1"/>
  <c r="E2272" i="1"/>
  <c r="H2271" i="1"/>
  <c r="F2271" i="1"/>
  <c r="E2271" i="1"/>
  <c r="H2270" i="1"/>
  <c r="F2270" i="1"/>
  <c r="E2270" i="1"/>
  <c r="H2269" i="1"/>
  <c r="F2269" i="1"/>
  <c r="E2269" i="1"/>
  <c r="H2268" i="1"/>
  <c r="F2268" i="1"/>
  <c r="E2268" i="1"/>
  <c r="H2267" i="1"/>
  <c r="F2267" i="1"/>
  <c r="E2267" i="1"/>
  <c r="H2266" i="1"/>
  <c r="F2266" i="1"/>
  <c r="E2266" i="1"/>
  <c r="H2265" i="1"/>
  <c r="F2265" i="1"/>
  <c r="E2265" i="1"/>
  <c r="H2264" i="1"/>
  <c r="F2264" i="1"/>
  <c r="E2264" i="1"/>
  <c r="H2263" i="1"/>
  <c r="F2263" i="1"/>
  <c r="E2263" i="1"/>
  <c r="H2262" i="1"/>
  <c r="F2262" i="1"/>
  <c r="E2262" i="1"/>
  <c r="H2261" i="1"/>
  <c r="F2261" i="1"/>
  <c r="E2261" i="1"/>
  <c r="H2260" i="1"/>
  <c r="F2260" i="1"/>
  <c r="E2260" i="1"/>
  <c r="H2259" i="1"/>
  <c r="F2259" i="1"/>
  <c r="E2259" i="1"/>
  <c r="H2258" i="1"/>
  <c r="F2258" i="1"/>
  <c r="E2258" i="1"/>
  <c r="H2257" i="1"/>
  <c r="F2257" i="1"/>
  <c r="E2257" i="1"/>
  <c r="H2256" i="1"/>
  <c r="F2256" i="1"/>
  <c r="E2256" i="1"/>
  <c r="H2255" i="1"/>
  <c r="F2255" i="1"/>
  <c r="E2255" i="1"/>
  <c r="H2254" i="1"/>
  <c r="F2254" i="1"/>
  <c r="E2254" i="1"/>
  <c r="H2253" i="1"/>
  <c r="F2253" i="1"/>
  <c r="E2253" i="1"/>
  <c r="H2252" i="1"/>
  <c r="F2252" i="1"/>
  <c r="E2252" i="1"/>
  <c r="H2251" i="1"/>
  <c r="F2251" i="1"/>
  <c r="E2251" i="1"/>
  <c r="H2250" i="1"/>
  <c r="F2250" i="1"/>
  <c r="E2250" i="1"/>
  <c r="H2249" i="1"/>
  <c r="F2249" i="1"/>
  <c r="E2249" i="1"/>
  <c r="H2248" i="1"/>
  <c r="F2248" i="1"/>
  <c r="E2248" i="1"/>
  <c r="H2247" i="1"/>
  <c r="F2247" i="1"/>
  <c r="E2247" i="1"/>
  <c r="H2246" i="1"/>
  <c r="F2246" i="1"/>
  <c r="E2246" i="1"/>
  <c r="H2245" i="1"/>
  <c r="F2245" i="1"/>
  <c r="E2245" i="1"/>
  <c r="H2244" i="1"/>
  <c r="F2244" i="1"/>
  <c r="E2244" i="1"/>
  <c r="H2243" i="1"/>
  <c r="F2243" i="1"/>
  <c r="E2243" i="1"/>
  <c r="H2242" i="1"/>
  <c r="F2242" i="1"/>
  <c r="E2242" i="1"/>
  <c r="H2241" i="1"/>
  <c r="F2241" i="1"/>
  <c r="E2241" i="1"/>
  <c r="H2240" i="1"/>
  <c r="F2240" i="1"/>
  <c r="E2240" i="1"/>
  <c r="H2239" i="1"/>
  <c r="F2239" i="1"/>
  <c r="E2239" i="1"/>
  <c r="H2238" i="1"/>
  <c r="F2238" i="1"/>
  <c r="E2238" i="1"/>
  <c r="H2237" i="1"/>
  <c r="F2237" i="1"/>
  <c r="E2237" i="1"/>
  <c r="H2236" i="1"/>
  <c r="F2236" i="1"/>
  <c r="E2236" i="1"/>
  <c r="H2235" i="1"/>
  <c r="F2235" i="1"/>
  <c r="E2235" i="1"/>
  <c r="H2234" i="1"/>
  <c r="F2234" i="1"/>
  <c r="E2234" i="1"/>
  <c r="H2233" i="1"/>
  <c r="F2233" i="1"/>
  <c r="E2233" i="1"/>
  <c r="H2232" i="1"/>
  <c r="F2232" i="1"/>
  <c r="E2232" i="1"/>
  <c r="H2231" i="1"/>
  <c r="F2231" i="1"/>
  <c r="E2231" i="1"/>
  <c r="H2230" i="1"/>
  <c r="F2230" i="1"/>
  <c r="E2230" i="1"/>
  <c r="H2229" i="1"/>
  <c r="F2229" i="1"/>
  <c r="E2229" i="1"/>
  <c r="H2228" i="1"/>
  <c r="F2228" i="1"/>
  <c r="E2228" i="1"/>
  <c r="H2227" i="1"/>
  <c r="F2227" i="1"/>
  <c r="E2227" i="1"/>
  <c r="H2226" i="1"/>
  <c r="F2226" i="1"/>
  <c r="E2226" i="1"/>
  <c r="H2225" i="1"/>
  <c r="F2225" i="1"/>
  <c r="E2225" i="1"/>
  <c r="H2224" i="1"/>
  <c r="F2224" i="1"/>
  <c r="E2224" i="1"/>
  <c r="H2223" i="1"/>
  <c r="F2223" i="1"/>
  <c r="E2223" i="1"/>
  <c r="H2222" i="1"/>
  <c r="F2222" i="1"/>
  <c r="E2222" i="1"/>
  <c r="H2221" i="1"/>
  <c r="F2221" i="1"/>
  <c r="E2221" i="1"/>
  <c r="H2220" i="1"/>
  <c r="F2220" i="1"/>
  <c r="E2220" i="1"/>
  <c r="H2219" i="1"/>
  <c r="F2219" i="1"/>
  <c r="E2219" i="1"/>
  <c r="H2218" i="1"/>
  <c r="F2218" i="1"/>
  <c r="E2218" i="1"/>
  <c r="H2217" i="1"/>
  <c r="F2217" i="1"/>
  <c r="E2217" i="1"/>
  <c r="H2216" i="1"/>
  <c r="F2216" i="1"/>
  <c r="E2216" i="1"/>
  <c r="H2215" i="1"/>
  <c r="F2215" i="1"/>
  <c r="E2215" i="1"/>
  <c r="H2214" i="1"/>
  <c r="F2214" i="1"/>
  <c r="E2214" i="1"/>
  <c r="H2213" i="1"/>
  <c r="F2213" i="1"/>
  <c r="E2213" i="1"/>
  <c r="H2212" i="1"/>
  <c r="F2212" i="1"/>
  <c r="E2212" i="1"/>
  <c r="H2211" i="1"/>
  <c r="F2211" i="1"/>
  <c r="E2211" i="1"/>
  <c r="H2210" i="1"/>
  <c r="F2210" i="1"/>
  <c r="E2210" i="1"/>
  <c r="H2209" i="1"/>
  <c r="F2209" i="1"/>
  <c r="E2209" i="1"/>
  <c r="H2208" i="1"/>
  <c r="F2208" i="1"/>
  <c r="E2208" i="1"/>
  <c r="H2207" i="1"/>
  <c r="F2207" i="1"/>
  <c r="E2207" i="1"/>
  <c r="H2206" i="1"/>
  <c r="F2206" i="1"/>
  <c r="E2206" i="1"/>
  <c r="H2205" i="1"/>
  <c r="F2205" i="1"/>
  <c r="E2205" i="1"/>
  <c r="H2204" i="1"/>
  <c r="F2204" i="1"/>
  <c r="E2204" i="1"/>
  <c r="H2203" i="1"/>
  <c r="F2203" i="1"/>
  <c r="E2203" i="1"/>
  <c r="H2202" i="1"/>
  <c r="F2202" i="1"/>
  <c r="E2202" i="1"/>
  <c r="H2201" i="1"/>
  <c r="F2201" i="1"/>
  <c r="E2201" i="1"/>
  <c r="H2200" i="1"/>
  <c r="F2200" i="1"/>
  <c r="E2200" i="1"/>
  <c r="H2199" i="1"/>
  <c r="F2199" i="1"/>
  <c r="E2199" i="1"/>
  <c r="H2198" i="1"/>
  <c r="F2198" i="1"/>
  <c r="E2198" i="1"/>
  <c r="H2197" i="1"/>
  <c r="F2197" i="1"/>
  <c r="E2197" i="1"/>
  <c r="H2196" i="1"/>
  <c r="F2196" i="1"/>
  <c r="E2196" i="1"/>
  <c r="H2195" i="1"/>
  <c r="F2195" i="1"/>
  <c r="E2195" i="1"/>
  <c r="H2194" i="1"/>
  <c r="F2194" i="1"/>
  <c r="E2194" i="1"/>
  <c r="H2193" i="1"/>
  <c r="F2193" i="1"/>
  <c r="E2193" i="1"/>
  <c r="H2192" i="1"/>
  <c r="F2192" i="1"/>
  <c r="E2192" i="1"/>
  <c r="H2191" i="1"/>
  <c r="F2191" i="1"/>
  <c r="E2191" i="1"/>
  <c r="H2190" i="1"/>
  <c r="F2190" i="1"/>
  <c r="E2190" i="1"/>
  <c r="H2189" i="1"/>
  <c r="F2189" i="1"/>
  <c r="E2189" i="1"/>
  <c r="H2188" i="1"/>
  <c r="F2188" i="1"/>
  <c r="E2188" i="1"/>
  <c r="H2187" i="1"/>
  <c r="F2187" i="1"/>
  <c r="E2187" i="1"/>
  <c r="H2186" i="1"/>
  <c r="F2186" i="1"/>
  <c r="E2186" i="1"/>
  <c r="H2185" i="1"/>
  <c r="F2185" i="1"/>
  <c r="E2185" i="1"/>
  <c r="H2184" i="1"/>
  <c r="F2184" i="1"/>
  <c r="E2184" i="1"/>
  <c r="H2183" i="1"/>
  <c r="F2183" i="1"/>
  <c r="E2183" i="1"/>
  <c r="H2182" i="1"/>
  <c r="F2182" i="1"/>
  <c r="E2182" i="1"/>
  <c r="H2181" i="1"/>
  <c r="F2181" i="1"/>
  <c r="E2181" i="1"/>
  <c r="H2180" i="1"/>
  <c r="F2180" i="1"/>
  <c r="E2180" i="1"/>
  <c r="H2179" i="1"/>
  <c r="F2179" i="1"/>
  <c r="E2179" i="1"/>
  <c r="H2178" i="1"/>
  <c r="F2178" i="1"/>
  <c r="E2178" i="1"/>
  <c r="H2177" i="1"/>
  <c r="F2177" i="1"/>
  <c r="E2177" i="1"/>
  <c r="H2176" i="1"/>
  <c r="F2176" i="1"/>
  <c r="E2176" i="1"/>
  <c r="H2175" i="1"/>
  <c r="F2175" i="1"/>
  <c r="E2175" i="1"/>
  <c r="H2174" i="1"/>
  <c r="F2174" i="1"/>
  <c r="E2174" i="1"/>
  <c r="H2173" i="1"/>
  <c r="F2173" i="1"/>
  <c r="E2173" i="1"/>
  <c r="H2172" i="1"/>
  <c r="F2172" i="1"/>
  <c r="E2172" i="1"/>
  <c r="H2171" i="1"/>
  <c r="F2171" i="1"/>
  <c r="E2171" i="1"/>
  <c r="H2170" i="1"/>
  <c r="F2170" i="1"/>
  <c r="E2170" i="1"/>
  <c r="H2169" i="1"/>
  <c r="F2169" i="1"/>
  <c r="E2169" i="1"/>
  <c r="H2168" i="1"/>
  <c r="F2168" i="1"/>
  <c r="E2168" i="1"/>
  <c r="H2167" i="1"/>
  <c r="F2167" i="1"/>
  <c r="E2167" i="1"/>
  <c r="H2166" i="1"/>
  <c r="F2166" i="1"/>
  <c r="E2166" i="1"/>
  <c r="H2165" i="1"/>
  <c r="F2165" i="1"/>
  <c r="E2165" i="1"/>
  <c r="H2164" i="1"/>
  <c r="F2164" i="1"/>
  <c r="E2164" i="1"/>
  <c r="H2163" i="1"/>
  <c r="F2163" i="1"/>
  <c r="E2163" i="1"/>
  <c r="H2162" i="1"/>
  <c r="F2162" i="1"/>
  <c r="E2162" i="1"/>
  <c r="H2161" i="1"/>
  <c r="F2161" i="1"/>
  <c r="E2161" i="1"/>
  <c r="H2160" i="1"/>
  <c r="F2160" i="1"/>
  <c r="E2160" i="1"/>
  <c r="H2159" i="1"/>
  <c r="F2159" i="1"/>
  <c r="E2159" i="1"/>
  <c r="H2158" i="1"/>
  <c r="F2158" i="1"/>
  <c r="E2158" i="1"/>
  <c r="H2157" i="1"/>
  <c r="F2157" i="1"/>
  <c r="E2157" i="1"/>
  <c r="H2156" i="1"/>
  <c r="F2156" i="1"/>
  <c r="E2156" i="1"/>
  <c r="H2155" i="1"/>
  <c r="F2155" i="1"/>
  <c r="E2155" i="1"/>
  <c r="H2154" i="1"/>
  <c r="F2154" i="1"/>
  <c r="E2154" i="1"/>
  <c r="H2153" i="1"/>
  <c r="F2153" i="1"/>
  <c r="E2153" i="1"/>
  <c r="H2152" i="1"/>
  <c r="F2152" i="1"/>
  <c r="E2152" i="1"/>
  <c r="H2151" i="1"/>
  <c r="F2151" i="1"/>
  <c r="E2151" i="1"/>
  <c r="H2150" i="1"/>
  <c r="F2150" i="1"/>
  <c r="E2150" i="1"/>
  <c r="H2149" i="1"/>
  <c r="F2149" i="1"/>
  <c r="E2149" i="1"/>
  <c r="H2148" i="1"/>
  <c r="F2148" i="1"/>
  <c r="E2148" i="1"/>
  <c r="H2147" i="1"/>
  <c r="F2147" i="1"/>
  <c r="E2147" i="1"/>
  <c r="H2146" i="1"/>
  <c r="F2146" i="1"/>
  <c r="E2146" i="1"/>
  <c r="H2145" i="1"/>
  <c r="F2145" i="1"/>
  <c r="E2145" i="1"/>
  <c r="H2144" i="1"/>
  <c r="F2144" i="1"/>
  <c r="E2144" i="1"/>
  <c r="H2143" i="1"/>
  <c r="F2143" i="1"/>
  <c r="E2143" i="1"/>
  <c r="H2142" i="1"/>
  <c r="F2142" i="1"/>
  <c r="E2142" i="1"/>
  <c r="H2141" i="1"/>
  <c r="F2141" i="1"/>
  <c r="E2141" i="1"/>
  <c r="H2140" i="1"/>
  <c r="F2140" i="1"/>
  <c r="E2140" i="1"/>
  <c r="H2139" i="1"/>
  <c r="F2139" i="1"/>
  <c r="E2139" i="1"/>
  <c r="H2138" i="1"/>
  <c r="F2138" i="1"/>
  <c r="E2138" i="1"/>
  <c r="H2137" i="1"/>
  <c r="F2137" i="1"/>
  <c r="E2137" i="1"/>
  <c r="H2136" i="1"/>
  <c r="F2136" i="1"/>
  <c r="E2136" i="1"/>
  <c r="H2135" i="1"/>
  <c r="F2135" i="1"/>
  <c r="E2135" i="1"/>
  <c r="H2134" i="1"/>
  <c r="F2134" i="1"/>
  <c r="E2134" i="1"/>
  <c r="H2133" i="1"/>
  <c r="F2133" i="1"/>
  <c r="E2133" i="1"/>
  <c r="H2132" i="1"/>
  <c r="F2132" i="1"/>
  <c r="E2132" i="1"/>
  <c r="H2131" i="1"/>
  <c r="F2131" i="1"/>
  <c r="E2131" i="1"/>
  <c r="H2130" i="1"/>
  <c r="F2130" i="1"/>
  <c r="E2130" i="1"/>
  <c r="H2129" i="1"/>
  <c r="F2129" i="1"/>
  <c r="E2129" i="1"/>
  <c r="H2128" i="1"/>
  <c r="F2128" i="1"/>
  <c r="E2128" i="1"/>
  <c r="H2127" i="1"/>
  <c r="F2127" i="1"/>
  <c r="E2127" i="1"/>
  <c r="H2126" i="1"/>
  <c r="F2126" i="1"/>
  <c r="E2126" i="1"/>
  <c r="H2125" i="1"/>
  <c r="F2125" i="1"/>
  <c r="E2125" i="1"/>
  <c r="H2124" i="1"/>
  <c r="F2124" i="1"/>
  <c r="E2124" i="1"/>
  <c r="H2123" i="1"/>
  <c r="F2123" i="1"/>
  <c r="E2123" i="1"/>
  <c r="H2122" i="1"/>
  <c r="F2122" i="1"/>
  <c r="E2122" i="1"/>
  <c r="H2121" i="1"/>
  <c r="F2121" i="1"/>
  <c r="E2121" i="1"/>
  <c r="H2120" i="1"/>
  <c r="F2120" i="1"/>
  <c r="E2120" i="1"/>
  <c r="H2119" i="1"/>
  <c r="F2119" i="1"/>
  <c r="E2119" i="1"/>
  <c r="H2118" i="1"/>
  <c r="F2118" i="1"/>
  <c r="E2118" i="1"/>
  <c r="H2117" i="1"/>
  <c r="F2117" i="1"/>
  <c r="E2117" i="1"/>
  <c r="H2116" i="1"/>
  <c r="F2116" i="1"/>
  <c r="E2116" i="1"/>
  <c r="H2115" i="1"/>
  <c r="F2115" i="1"/>
  <c r="E2115" i="1"/>
  <c r="H2114" i="1"/>
  <c r="F2114" i="1"/>
  <c r="E2114" i="1"/>
  <c r="H2113" i="1"/>
  <c r="F2113" i="1"/>
  <c r="E2113" i="1"/>
  <c r="H2112" i="1"/>
  <c r="F2112" i="1"/>
  <c r="E2112" i="1"/>
  <c r="H2111" i="1"/>
  <c r="F2111" i="1"/>
  <c r="E2111" i="1"/>
  <c r="H2110" i="1"/>
  <c r="F2110" i="1"/>
  <c r="E2110" i="1"/>
  <c r="H2109" i="1"/>
  <c r="F2109" i="1"/>
  <c r="E2109" i="1"/>
  <c r="H2108" i="1"/>
  <c r="F2108" i="1"/>
  <c r="E2108" i="1"/>
  <c r="H2107" i="1"/>
  <c r="F2107" i="1"/>
  <c r="E2107" i="1"/>
  <c r="H2106" i="1"/>
  <c r="F2106" i="1"/>
  <c r="E2106" i="1"/>
  <c r="H2105" i="1"/>
  <c r="F2105" i="1"/>
  <c r="E2105" i="1"/>
  <c r="H2104" i="1"/>
  <c r="F2104" i="1"/>
  <c r="E2104" i="1"/>
  <c r="H2103" i="1"/>
  <c r="F2103" i="1"/>
  <c r="E2103" i="1"/>
  <c r="H2102" i="1"/>
  <c r="F2102" i="1"/>
  <c r="E2102" i="1"/>
  <c r="H2101" i="1"/>
  <c r="F2101" i="1"/>
  <c r="E2101" i="1"/>
  <c r="H2100" i="1"/>
  <c r="F2100" i="1"/>
  <c r="E2100" i="1"/>
  <c r="H2099" i="1"/>
  <c r="F2099" i="1"/>
  <c r="E2099" i="1"/>
  <c r="H2098" i="1"/>
  <c r="F2098" i="1"/>
  <c r="E2098" i="1"/>
  <c r="H2097" i="1"/>
  <c r="F2097" i="1"/>
  <c r="E2097" i="1"/>
  <c r="H2096" i="1"/>
  <c r="F2096" i="1"/>
  <c r="E2096" i="1"/>
  <c r="H2095" i="1"/>
  <c r="F2095" i="1"/>
  <c r="E2095" i="1"/>
  <c r="H2094" i="1"/>
  <c r="F2094" i="1"/>
  <c r="E2094" i="1"/>
  <c r="H2093" i="1"/>
  <c r="F2093" i="1"/>
  <c r="E2093" i="1"/>
  <c r="H2092" i="1"/>
  <c r="F2092" i="1"/>
  <c r="E2092" i="1"/>
  <c r="H2091" i="1"/>
  <c r="F2091" i="1"/>
  <c r="E2091" i="1"/>
  <c r="H2090" i="1"/>
  <c r="F2090" i="1"/>
  <c r="E2090" i="1"/>
  <c r="H2089" i="1"/>
  <c r="F2089" i="1"/>
  <c r="E2089" i="1"/>
  <c r="H2088" i="1"/>
  <c r="F2088" i="1"/>
  <c r="E2088" i="1"/>
  <c r="H2087" i="1"/>
  <c r="F2087" i="1"/>
  <c r="E2087" i="1"/>
  <c r="H2086" i="1"/>
  <c r="F2086" i="1"/>
  <c r="E2086" i="1"/>
  <c r="H2085" i="1"/>
  <c r="F2085" i="1"/>
  <c r="E2085" i="1"/>
  <c r="H2084" i="1"/>
  <c r="F2084" i="1"/>
  <c r="E2084" i="1"/>
  <c r="H2083" i="1"/>
  <c r="F2083" i="1"/>
  <c r="E2083" i="1"/>
  <c r="H2082" i="1"/>
  <c r="F2082" i="1"/>
  <c r="E2082" i="1"/>
  <c r="H2081" i="1"/>
  <c r="F2081" i="1"/>
  <c r="E2081" i="1"/>
  <c r="H2080" i="1"/>
  <c r="F2080" i="1"/>
  <c r="E2080" i="1"/>
  <c r="H2079" i="1"/>
  <c r="F2079" i="1"/>
  <c r="E2079" i="1"/>
  <c r="H2078" i="1"/>
  <c r="F2078" i="1"/>
  <c r="E2078" i="1"/>
  <c r="H2077" i="1"/>
  <c r="F2077" i="1"/>
  <c r="E2077" i="1"/>
  <c r="H2076" i="1"/>
  <c r="F2076" i="1"/>
  <c r="E2076" i="1"/>
  <c r="H2075" i="1"/>
  <c r="F2075" i="1"/>
  <c r="E2075" i="1"/>
  <c r="H2074" i="1"/>
  <c r="F2074" i="1"/>
  <c r="E2074" i="1"/>
  <c r="H2073" i="1"/>
  <c r="F2073" i="1"/>
  <c r="E2073" i="1"/>
  <c r="H2072" i="1"/>
  <c r="F2072" i="1"/>
  <c r="E2072" i="1"/>
  <c r="H2071" i="1"/>
  <c r="F2071" i="1"/>
  <c r="E2071" i="1"/>
  <c r="H2070" i="1"/>
  <c r="F2070" i="1"/>
  <c r="E2070" i="1"/>
  <c r="H2069" i="1"/>
  <c r="F2069" i="1"/>
  <c r="E2069" i="1"/>
  <c r="H2068" i="1"/>
  <c r="F2068" i="1"/>
  <c r="E2068" i="1"/>
  <c r="H2067" i="1"/>
  <c r="F2067" i="1"/>
  <c r="E2067" i="1"/>
  <c r="H2066" i="1"/>
  <c r="F2066" i="1"/>
  <c r="E2066" i="1"/>
  <c r="H2065" i="1"/>
  <c r="F2065" i="1"/>
  <c r="E2065" i="1"/>
  <c r="H2064" i="1"/>
  <c r="F2064" i="1"/>
  <c r="E2064" i="1"/>
  <c r="H2063" i="1"/>
  <c r="F2063" i="1"/>
  <c r="E2063" i="1"/>
  <c r="H2062" i="1"/>
  <c r="F2062" i="1"/>
  <c r="E2062" i="1"/>
  <c r="H2061" i="1"/>
  <c r="F2061" i="1"/>
  <c r="E2061" i="1"/>
  <c r="H2060" i="1"/>
  <c r="F2060" i="1"/>
  <c r="E2060" i="1"/>
  <c r="H2059" i="1"/>
  <c r="F2059" i="1"/>
  <c r="E2059" i="1"/>
  <c r="H2058" i="1"/>
  <c r="F2058" i="1"/>
  <c r="E2058" i="1"/>
  <c r="H2057" i="1"/>
  <c r="F2057" i="1"/>
  <c r="E2057" i="1"/>
  <c r="H2056" i="1"/>
  <c r="F2056" i="1"/>
  <c r="E2056" i="1"/>
  <c r="H2055" i="1"/>
  <c r="F2055" i="1"/>
  <c r="E2055" i="1"/>
  <c r="H2054" i="1"/>
  <c r="F2054" i="1"/>
  <c r="E2054" i="1"/>
  <c r="H2053" i="1"/>
  <c r="F2053" i="1"/>
  <c r="E2053" i="1"/>
  <c r="H2052" i="1"/>
  <c r="F2052" i="1"/>
  <c r="E2052" i="1"/>
  <c r="H2051" i="1"/>
  <c r="F2051" i="1"/>
  <c r="E2051" i="1"/>
  <c r="H2050" i="1"/>
  <c r="F2050" i="1"/>
  <c r="E2050" i="1"/>
  <c r="H2049" i="1"/>
  <c r="F2049" i="1"/>
  <c r="E2049" i="1"/>
  <c r="H2048" i="1"/>
  <c r="F2048" i="1"/>
  <c r="E2048" i="1"/>
  <c r="H2047" i="1"/>
  <c r="F2047" i="1"/>
  <c r="E2047" i="1"/>
  <c r="H2046" i="1"/>
  <c r="F2046" i="1"/>
  <c r="E2046" i="1"/>
  <c r="H2045" i="1"/>
  <c r="F2045" i="1"/>
  <c r="E2045" i="1"/>
  <c r="H2044" i="1"/>
  <c r="F2044" i="1"/>
  <c r="E2044" i="1"/>
  <c r="H2043" i="1"/>
  <c r="F2043" i="1"/>
  <c r="E2043" i="1"/>
  <c r="H2042" i="1"/>
  <c r="F2042" i="1"/>
  <c r="E2042" i="1"/>
  <c r="H2041" i="1"/>
  <c r="F2041" i="1"/>
  <c r="E2041" i="1"/>
  <c r="H2040" i="1"/>
  <c r="F2040" i="1"/>
  <c r="E2040" i="1"/>
  <c r="H2039" i="1"/>
  <c r="F2039" i="1"/>
  <c r="E2039" i="1"/>
  <c r="H2038" i="1"/>
  <c r="F2038" i="1"/>
  <c r="E2038" i="1"/>
  <c r="H2037" i="1"/>
  <c r="F2037" i="1"/>
  <c r="E2037" i="1"/>
  <c r="H2036" i="1"/>
  <c r="F2036" i="1"/>
  <c r="E2036" i="1"/>
  <c r="H2035" i="1"/>
  <c r="F2035" i="1"/>
  <c r="E2035" i="1"/>
  <c r="H2034" i="1"/>
  <c r="F2034" i="1"/>
  <c r="E2034" i="1"/>
  <c r="H2033" i="1"/>
  <c r="F2033" i="1"/>
  <c r="E2033" i="1"/>
  <c r="H2032" i="1"/>
  <c r="F2032" i="1"/>
  <c r="E2032" i="1"/>
  <c r="H2031" i="1"/>
  <c r="F2031" i="1"/>
  <c r="E2031" i="1"/>
  <c r="H2030" i="1"/>
  <c r="F2030" i="1"/>
  <c r="E2030" i="1"/>
  <c r="H2029" i="1"/>
  <c r="F2029" i="1"/>
  <c r="E2029" i="1"/>
  <c r="H2028" i="1"/>
  <c r="F2028" i="1"/>
  <c r="E2028" i="1"/>
  <c r="H2027" i="1"/>
  <c r="F2027" i="1"/>
  <c r="E2027" i="1"/>
  <c r="H2026" i="1"/>
  <c r="F2026" i="1"/>
  <c r="E2026" i="1"/>
  <c r="H2025" i="1"/>
  <c r="F2025" i="1"/>
  <c r="E2025" i="1"/>
  <c r="H2024" i="1"/>
  <c r="F2024" i="1"/>
  <c r="E2024" i="1"/>
  <c r="H2023" i="1"/>
  <c r="F2023" i="1"/>
  <c r="E2023" i="1"/>
  <c r="H2022" i="1"/>
  <c r="F2022" i="1"/>
  <c r="E2022" i="1"/>
  <c r="H2021" i="1"/>
  <c r="F2021" i="1"/>
  <c r="E2021" i="1"/>
  <c r="H2020" i="1"/>
  <c r="F2020" i="1"/>
  <c r="E2020" i="1"/>
  <c r="H2019" i="1"/>
  <c r="F2019" i="1"/>
  <c r="E2019" i="1"/>
  <c r="H2018" i="1"/>
  <c r="F2018" i="1"/>
  <c r="E2018" i="1"/>
  <c r="H2017" i="1"/>
  <c r="F2017" i="1"/>
  <c r="E2017" i="1"/>
  <c r="H2016" i="1"/>
  <c r="F2016" i="1"/>
  <c r="E2016" i="1"/>
  <c r="H2015" i="1"/>
  <c r="F2015" i="1"/>
  <c r="E2015" i="1"/>
  <c r="H2014" i="1"/>
  <c r="F2014" i="1"/>
  <c r="E2014" i="1"/>
  <c r="H2013" i="1"/>
  <c r="F2013" i="1"/>
  <c r="E2013" i="1"/>
  <c r="H2012" i="1"/>
  <c r="F2012" i="1"/>
  <c r="E2012" i="1"/>
  <c r="H2011" i="1"/>
  <c r="F2011" i="1"/>
  <c r="E2011" i="1"/>
  <c r="H2010" i="1"/>
  <c r="F2010" i="1"/>
  <c r="E2010" i="1"/>
  <c r="H2009" i="1"/>
  <c r="F2009" i="1"/>
  <c r="E2009" i="1"/>
  <c r="H2008" i="1"/>
  <c r="F2008" i="1"/>
  <c r="E2008" i="1"/>
  <c r="H2007" i="1"/>
  <c r="F2007" i="1"/>
  <c r="E2007" i="1"/>
  <c r="H2006" i="1"/>
  <c r="F2006" i="1"/>
  <c r="E2006" i="1"/>
  <c r="H2005" i="1"/>
  <c r="F2005" i="1"/>
  <c r="E2005" i="1"/>
  <c r="H2004" i="1"/>
  <c r="F2004" i="1"/>
  <c r="E2004" i="1"/>
  <c r="H2003" i="1"/>
  <c r="F2003" i="1"/>
  <c r="E2003" i="1"/>
  <c r="H2002" i="1"/>
  <c r="F2002" i="1"/>
  <c r="E2002" i="1"/>
  <c r="H2001" i="1"/>
  <c r="F2001" i="1"/>
  <c r="E2001" i="1"/>
  <c r="H2000" i="1"/>
  <c r="F2000" i="1"/>
  <c r="E2000" i="1"/>
  <c r="H1999" i="1"/>
  <c r="F1999" i="1"/>
  <c r="E1999" i="1"/>
  <c r="H1998" i="1"/>
  <c r="F1998" i="1"/>
  <c r="E1998" i="1"/>
  <c r="H1997" i="1"/>
  <c r="F1997" i="1"/>
  <c r="E1997" i="1"/>
  <c r="H1996" i="1"/>
  <c r="F1996" i="1"/>
  <c r="E1996" i="1"/>
  <c r="H1995" i="1"/>
  <c r="F1995" i="1"/>
  <c r="E1995" i="1"/>
  <c r="H1994" i="1"/>
  <c r="F1994" i="1"/>
  <c r="E1994" i="1"/>
  <c r="H1993" i="1"/>
  <c r="F1993" i="1"/>
  <c r="E1993" i="1"/>
  <c r="H1992" i="1"/>
  <c r="F1992" i="1"/>
  <c r="E1992" i="1"/>
  <c r="H1991" i="1"/>
  <c r="F1991" i="1"/>
  <c r="E1991" i="1"/>
  <c r="H1990" i="1"/>
  <c r="F1990" i="1"/>
  <c r="E1990" i="1"/>
  <c r="H1989" i="1"/>
  <c r="F1989" i="1"/>
  <c r="E1989" i="1"/>
  <c r="H1988" i="1"/>
  <c r="F1988" i="1"/>
  <c r="E1988" i="1"/>
  <c r="H1987" i="1"/>
  <c r="F1987" i="1"/>
  <c r="E1987" i="1"/>
  <c r="H1986" i="1"/>
  <c r="F1986" i="1"/>
  <c r="E1986" i="1"/>
  <c r="H1985" i="1"/>
  <c r="F1985" i="1"/>
  <c r="E1985" i="1"/>
  <c r="H1984" i="1"/>
  <c r="F1984" i="1"/>
  <c r="E1984" i="1"/>
  <c r="H1983" i="1"/>
  <c r="F1983" i="1"/>
  <c r="E1983" i="1"/>
  <c r="H1982" i="1"/>
  <c r="F1982" i="1"/>
  <c r="E1982" i="1"/>
  <c r="H1981" i="1"/>
  <c r="F1981" i="1"/>
  <c r="E1981" i="1"/>
  <c r="H1980" i="1"/>
  <c r="F1980" i="1"/>
  <c r="E1980" i="1"/>
  <c r="H1979" i="1"/>
  <c r="F1979" i="1"/>
  <c r="E1979" i="1"/>
  <c r="H1978" i="1"/>
  <c r="F1978" i="1"/>
  <c r="E1978" i="1"/>
  <c r="H1977" i="1"/>
  <c r="F1977" i="1"/>
  <c r="E1977" i="1"/>
  <c r="H1976" i="1"/>
  <c r="F1976" i="1"/>
  <c r="E1976" i="1"/>
  <c r="H1975" i="1"/>
  <c r="F1975" i="1"/>
  <c r="E1975" i="1"/>
  <c r="H1974" i="1"/>
  <c r="F1974" i="1"/>
  <c r="E1974" i="1"/>
  <c r="H1973" i="1"/>
  <c r="F1973" i="1"/>
  <c r="E1973" i="1"/>
  <c r="H1972" i="1"/>
  <c r="F1972" i="1"/>
  <c r="E1972" i="1"/>
  <c r="H1971" i="1"/>
  <c r="F1971" i="1"/>
  <c r="E1971" i="1"/>
  <c r="H1970" i="1"/>
  <c r="F1970" i="1"/>
  <c r="E1970" i="1"/>
  <c r="H1969" i="1"/>
  <c r="F1969" i="1"/>
  <c r="E1969" i="1"/>
  <c r="H1968" i="1"/>
  <c r="F1968" i="1"/>
  <c r="E1968" i="1"/>
  <c r="H1967" i="1"/>
  <c r="F1967" i="1"/>
  <c r="E1967" i="1"/>
  <c r="H1966" i="1"/>
  <c r="F1966" i="1"/>
  <c r="E1966" i="1"/>
  <c r="H1965" i="1"/>
  <c r="F1965" i="1"/>
  <c r="E1965" i="1"/>
  <c r="H1964" i="1"/>
  <c r="F1964" i="1"/>
  <c r="E1964" i="1"/>
  <c r="H1963" i="1"/>
  <c r="F1963" i="1"/>
  <c r="E1963" i="1"/>
  <c r="H1962" i="1"/>
  <c r="F1962" i="1"/>
  <c r="E1962" i="1"/>
  <c r="H1961" i="1"/>
  <c r="F1961" i="1"/>
  <c r="E1961" i="1"/>
  <c r="H1960" i="1"/>
  <c r="F1960" i="1"/>
  <c r="E1960" i="1"/>
  <c r="H1959" i="1"/>
  <c r="F1959" i="1"/>
  <c r="E1959" i="1"/>
  <c r="H1958" i="1"/>
  <c r="F1958" i="1"/>
  <c r="E1958" i="1"/>
  <c r="H1957" i="1"/>
  <c r="F1957" i="1"/>
  <c r="E1957" i="1"/>
  <c r="H1956" i="1"/>
  <c r="F1956" i="1"/>
  <c r="E1956" i="1"/>
  <c r="H1955" i="1"/>
  <c r="F1955" i="1"/>
  <c r="E1955" i="1"/>
  <c r="H1954" i="1"/>
  <c r="F1954" i="1"/>
  <c r="E1954" i="1"/>
  <c r="H1953" i="1"/>
  <c r="F1953" i="1"/>
  <c r="E1953" i="1"/>
  <c r="H1952" i="1"/>
  <c r="F1952" i="1"/>
  <c r="E1952" i="1"/>
  <c r="H1951" i="1"/>
  <c r="F1951" i="1"/>
  <c r="E1951" i="1"/>
  <c r="H1950" i="1"/>
  <c r="F1950" i="1"/>
  <c r="E1950" i="1"/>
  <c r="H1949" i="1"/>
  <c r="F1949" i="1"/>
  <c r="E1949" i="1"/>
  <c r="H1948" i="1"/>
  <c r="F1948" i="1"/>
  <c r="E1948" i="1"/>
  <c r="H1947" i="1"/>
  <c r="F1947" i="1"/>
  <c r="E1947" i="1"/>
  <c r="H1946" i="1"/>
  <c r="F1946" i="1"/>
  <c r="E1946" i="1"/>
  <c r="H1945" i="1"/>
  <c r="F1945" i="1"/>
  <c r="E1945" i="1"/>
  <c r="H1944" i="1"/>
  <c r="F1944" i="1"/>
  <c r="E1944" i="1"/>
  <c r="H1943" i="1"/>
  <c r="F1943" i="1"/>
  <c r="E1943" i="1"/>
  <c r="H1942" i="1"/>
  <c r="F1942" i="1"/>
  <c r="E1942" i="1"/>
  <c r="H1941" i="1"/>
  <c r="F1941" i="1"/>
  <c r="E1941" i="1"/>
  <c r="H1940" i="1"/>
  <c r="F1940" i="1"/>
  <c r="E1940" i="1"/>
  <c r="H1939" i="1"/>
  <c r="F1939" i="1"/>
  <c r="E1939" i="1"/>
  <c r="H1938" i="1"/>
  <c r="F1938" i="1"/>
  <c r="E1938" i="1"/>
  <c r="H1937" i="1"/>
  <c r="F1937" i="1"/>
  <c r="E1937" i="1"/>
  <c r="H1936" i="1"/>
  <c r="F1936" i="1"/>
  <c r="E1936" i="1"/>
  <c r="H1935" i="1"/>
  <c r="F1935" i="1"/>
  <c r="E1935" i="1"/>
  <c r="H1934" i="1"/>
  <c r="F1934" i="1"/>
  <c r="E1934" i="1"/>
  <c r="H1933" i="1"/>
  <c r="F1933" i="1"/>
  <c r="E1933" i="1"/>
  <c r="H1932" i="1"/>
  <c r="F1932" i="1"/>
  <c r="E1932" i="1"/>
  <c r="H1931" i="1"/>
  <c r="F1931" i="1"/>
  <c r="E1931" i="1"/>
  <c r="H1930" i="1"/>
  <c r="F1930" i="1"/>
  <c r="E1930" i="1"/>
  <c r="H1929" i="1"/>
  <c r="F1929" i="1"/>
  <c r="E1929" i="1"/>
  <c r="H1928" i="1"/>
  <c r="F1928" i="1"/>
  <c r="E1928" i="1"/>
  <c r="H1927" i="1"/>
  <c r="F1927" i="1"/>
  <c r="E1927" i="1"/>
  <c r="H1926" i="1"/>
  <c r="F1926" i="1"/>
  <c r="E1926" i="1"/>
  <c r="H1925" i="1"/>
  <c r="F1925" i="1"/>
  <c r="E1925" i="1"/>
  <c r="H1924" i="1"/>
  <c r="F1924" i="1"/>
  <c r="E1924" i="1"/>
  <c r="H1923" i="1"/>
  <c r="F1923" i="1"/>
  <c r="E1923" i="1"/>
  <c r="H1922" i="1"/>
  <c r="F1922" i="1"/>
  <c r="E1922" i="1"/>
  <c r="H1921" i="1"/>
  <c r="F1921" i="1"/>
  <c r="E1921" i="1"/>
  <c r="H1920" i="1"/>
  <c r="F1920" i="1"/>
  <c r="E1920" i="1"/>
  <c r="H1919" i="1"/>
  <c r="F1919" i="1"/>
  <c r="E1919" i="1"/>
  <c r="H1918" i="1"/>
  <c r="F1918" i="1"/>
  <c r="E1918" i="1"/>
  <c r="H1917" i="1"/>
  <c r="F1917" i="1"/>
  <c r="E1917" i="1"/>
  <c r="H1916" i="1"/>
  <c r="F1916" i="1"/>
  <c r="E1916" i="1"/>
  <c r="H1915" i="1"/>
  <c r="F1915" i="1"/>
  <c r="E1915" i="1"/>
  <c r="H1914" i="1"/>
  <c r="F1914" i="1"/>
  <c r="E1914" i="1"/>
  <c r="H1913" i="1"/>
  <c r="F1913" i="1"/>
  <c r="E1913" i="1"/>
  <c r="H1912" i="1"/>
  <c r="F1912" i="1"/>
  <c r="E1912" i="1"/>
  <c r="H1911" i="1"/>
  <c r="F1911" i="1"/>
  <c r="E1911" i="1"/>
  <c r="H1910" i="1"/>
  <c r="F1910" i="1"/>
  <c r="E1910" i="1"/>
  <c r="H1909" i="1"/>
  <c r="F1909" i="1"/>
  <c r="E1909" i="1"/>
  <c r="H1908" i="1"/>
  <c r="F1908" i="1"/>
  <c r="E1908" i="1"/>
  <c r="H1907" i="1"/>
  <c r="F1907" i="1"/>
  <c r="E1907" i="1"/>
  <c r="H1906" i="1"/>
  <c r="F1906" i="1"/>
  <c r="E1906" i="1"/>
  <c r="H1905" i="1"/>
  <c r="F1905" i="1"/>
  <c r="E1905" i="1"/>
  <c r="H1904" i="1"/>
  <c r="F1904" i="1"/>
  <c r="E1904" i="1"/>
  <c r="H1903" i="1"/>
  <c r="F1903" i="1"/>
  <c r="E1903" i="1"/>
  <c r="H1902" i="1"/>
  <c r="F1902" i="1"/>
  <c r="E1902" i="1"/>
  <c r="H1901" i="1"/>
  <c r="F1901" i="1"/>
  <c r="E1901" i="1"/>
  <c r="H1900" i="1"/>
  <c r="F1900" i="1"/>
  <c r="E1900" i="1"/>
  <c r="H1899" i="1"/>
  <c r="F1899" i="1"/>
  <c r="E1899" i="1"/>
  <c r="H1898" i="1"/>
  <c r="F1898" i="1"/>
  <c r="E1898" i="1"/>
  <c r="H1897" i="1"/>
  <c r="F1897" i="1"/>
  <c r="E1897" i="1"/>
  <c r="H1896" i="1"/>
  <c r="F1896" i="1"/>
  <c r="E1896" i="1"/>
  <c r="H1895" i="1"/>
  <c r="F1895" i="1"/>
  <c r="E1895" i="1"/>
  <c r="H1894" i="1"/>
  <c r="F1894" i="1"/>
  <c r="E1894" i="1"/>
  <c r="H1893" i="1"/>
  <c r="F1893" i="1"/>
  <c r="E1893" i="1"/>
  <c r="H1892" i="1"/>
  <c r="F1892" i="1"/>
  <c r="E1892" i="1"/>
  <c r="H1891" i="1"/>
  <c r="F1891" i="1"/>
  <c r="E1891" i="1"/>
  <c r="H1890" i="1"/>
  <c r="F1890" i="1"/>
  <c r="E1890" i="1"/>
  <c r="H1889" i="1"/>
  <c r="F1889" i="1"/>
  <c r="E1889" i="1"/>
  <c r="H1888" i="1"/>
  <c r="F1888" i="1"/>
  <c r="E1888" i="1"/>
  <c r="H1887" i="1"/>
  <c r="F1887" i="1"/>
  <c r="E1887" i="1"/>
  <c r="H1886" i="1"/>
  <c r="F1886" i="1"/>
  <c r="E1886" i="1"/>
  <c r="H1885" i="1"/>
  <c r="F1885" i="1"/>
  <c r="E1885" i="1"/>
  <c r="H1884" i="1"/>
  <c r="F1884" i="1"/>
  <c r="E1884" i="1"/>
  <c r="H1883" i="1"/>
  <c r="F1883" i="1"/>
  <c r="E1883" i="1"/>
  <c r="H1882" i="1"/>
  <c r="F1882" i="1"/>
  <c r="E1882" i="1"/>
  <c r="H1881" i="1"/>
  <c r="F1881" i="1"/>
  <c r="E1881" i="1"/>
  <c r="H1880" i="1"/>
  <c r="F1880" i="1"/>
  <c r="E1880" i="1"/>
  <c r="H1879" i="1"/>
  <c r="F1879" i="1"/>
  <c r="E1879" i="1"/>
  <c r="H1878" i="1"/>
  <c r="F1878" i="1"/>
  <c r="E1878" i="1"/>
  <c r="H1877" i="1"/>
  <c r="F1877" i="1"/>
  <c r="E1877" i="1"/>
  <c r="H1876" i="1"/>
  <c r="F1876" i="1"/>
  <c r="E1876" i="1"/>
  <c r="H1875" i="1"/>
  <c r="F1875" i="1"/>
  <c r="E1875" i="1"/>
  <c r="H1874" i="1"/>
  <c r="F1874" i="1"/>
  <c r="E1874" i="1"/>
  <c r="H1873" i="1"/>
  <c r="F1873" i="1"/>
  <c r="E1873" i="1"/>
  <c r="H1872" i="1"/>
  <c r="F1872" i="1"/>
  <c r="E1872" i="1"/>
  <c r="H1871" i="1"/>
  <c r="F1871" i="1"/>
  <c r="E1871" i="1"/>
  <c r="H1870" i="1"/>
  <c r="F1870" i="1"/>
  <c r="E1870" i="1"/>
  <c r="H1869" i="1"/>
  <c r="F1869" i="1"/>
  <c r="E1869" i="1"/>
  <c r="H1868" i="1"/>
  <c r="F1868" i="1"/>
  <c r="E1868" i="1"/>
  <c r="H1867" i="1"/>
  <c r="F1867" i="1"/>
  <c r="E1867" i="1"/>
  <c r="H1866" i="1"/>
  <c r="F1866" i="1"/>
  <c r="E1866" i="1"/>
  <c r="H1865" i="1"/>
  <c r="F1865" i="1"/>
  <c r="E1865" i="1"/>
  <c r="H1864" i="1"/>
  <c r="F1864" i="1"/>
  <c r="E1864" i="1"/>
  <c r="H1863" i="1"/>
  <c r="F1863" i="1"/>
  <c r="E1863" i="1"/>
  <c r="H1862" i="1"/>
  <c r="F1862" i="1"/>
  <c r="E1862" i="1"/>
  <c r="H1861" i="1"/>
  <c r="F1861" i="1"/>
  <c r="E1861" i="1"/>
  <c r="H1860" i="1"/>
  <c r="F1860" i="1"/>
  <c r="E1860" i="1"/>
  <c r="H1859" i="1"/>
  <c r="F1859" i="1"/>
  <c r="E1859" i="1"/>
  <c r="H1858" i="1"/>
  <c r="F1858" i="1"/>
  <c r="E1858" i="1"/>
  <c r="H1857" i="1"/>
  <c r="F1857" i="1"/>
  <c r="E1857" i="1"/>
  <c r="H1856" i="1"/>
  <c r="F1856" i="1"/>
  <c r="E1856" i="1"/>
  <c r="H1855" i="1"/>
  <c r="F1855" i="1"/>
  <c r="E1855" i="1"/>
  <c r="H1854" i="1"/>
  <c r="F1854" i="1"/>
  <c r="E1854" i="1"/>
  <c r="H1853" i="1"/>
  <c r="F1853" i="1"/>
  <c r="E1853" i="1"/>
  <c r="H1852" i="1"/>
  <c r="F1852" i="1"/>
  <c r="E1852" i="1"/>
  <c r="H1851" i="1"/>
  <c r="F1851" i="1"/>
  <c r="E1851" i="1"/>
  <c r="H1850" i="1"/>
  <c r="F1850" i="1"/>
  <c r="E1850" i="1"/>
  <c r="H1849" i="1"/>
  <c r="F1849" i="1"/>
  <c r="E1849" i="1"/>
  <c r="H1848" i="1"/>
  <c r="F1848" i="1"/>
  <c r="E1848" i="1"/>
  <c r="H1847" i="1"/>
  <c r="F1847" i="1"/>
  <c r="E1847" i="1"/>
  <c r="H1846" i="1"/>
  <c r="F1846" i="1"/>
  <c r="E1846" i="1"/>
  <c r="H1845" i="1"/>
  <c r="F1845" i="1"/>
  <c r="E1845" i="1"/>
  <c r="H1844" i="1"/>
  <c r="F1844" i="1"/>
  <c r="E1844" i="1"/>
  <c r="H1843" i="1"/>
  <c r="F1843" i="1"/>
  <c r="E1843" i="1"/>
  <c r="H1842" i="1"/>
  <c r="F1842" i="1"/>
  <c r="E1842" i="1"/>
  <c r="H1841" i="1"/>
  <c r="F1841" i="1"/>
  <c r="E1841" i="1"/>
  <c r="H1840" i="1"/>
  <c r="F1840" i="1"/>
  <c r="E1840" i="1"/>
  <c r="H1839" i="1"/>
  <c r="F1839" i="1"/>
  <c r="E1839" i="1"/>
  <c r="H1838" i="1"/>
  <c r="F1838" i="1"/>
  <c r="E1838" i="1"/>
  <c r="H1837" i="1"/>
  <c r="F1837" i="1"/>
  <c r="E1837" i="1"/>
  <c r="H1836" i="1"/>
  <c r="F1836" i="1"/>
  <c r="E1836" i="1"/>
  <c r="H1835" i="1"/>
  <c r="F1835" i="1"/>
  <c r="E1835" i="1"/>
  <c r="H1834" i="1"/>
  <c r="F1834" i="1"/>
  <c r="E1834" i="1"/>
  <c r="H1833" i="1"/>
  <c r="F1833" i="1"/>
  <c r="E1833" i="1"/>
  <c r="H1832" i="1"/>
  <c r="F1832" i="1"/>
  <c r="E1832" i="1"/>
  <c r="H1831" i="1"/>
  <c r="F1831" i="1"/>
  <c r="E1831" i="1"/>
  <c r="H1830" i="1"/>
  <c r="F1830" i="1"/>
  <c r="E1830" i="1"/>
  <c r="H1829" i="1"/>
  <c r="F1829" i="1"/>
  <c r="E1829" i="1"/>
  <c r="H1828" i="1"/>
  <c r="F1828" i="1"/>
  <c r="E1828" i="1"/>
  <c r="H1827" i="1"/>
  <c r="F1827" i="1"/>
  <c r="E1827" i="1"/>
  <c r="H1826" i="1"/>
  <c r="F1826" i="1"/>
  <c r="E1826" i="1"/>
  <c r="H1825" i="1"/>
  <c r="F1825" i="1"/>
  <c r="E1825" i="1"/>
  <c r="H1824" i="1"/>
  <c r="F1824" i="1"/>
  <c r="E1824" i="1"/>
  <c r="H1823" i="1"/>
  <c r="F1823" i="1"/>
  <c r="E1823" i="1"/>
  <c r="H1822" i="1"/>
  <c r="F1822" i="1"/>
  <c r="E1822" i="1"/>
  <c r="H1821" i="1"/>
  <c r="F1821" i="1"/>
  <c r="E1821" i="1"/>
  <c r="H1820" i="1"/>
  <c r="F1820" i="1"/>
  <c r="E1820" i="1"/>
  <c r="H1819" i="1"/>
  <c r="F1819" i="1"/>
  <c r="E1819" i="1"/>
  <c r="H1818" i="1"/>
  <c r="F1818" i="1"/>
  <c r="E1818" i="1"/>
  <c r="H1817" i="1"/>
  <c r="F1817" i="1"/>
  <c r="E1817" i="1"/>
  <c r="H1816" i="1"/>
  <c r="F1816" i="1"/>
  <c r="E1816" i="1"/>
  <c r="H1815" i="1"/>
  <c r="F1815" i="1"/>
  <c r="E1815" i="1"/>
  <c r="H1814" i="1"/>
  <c r="F1814" i="1"/>
  <c r="E1814" i="1"/>
  <c r="H1813" i="1"/>
  <c r="F1813" i="1"/>
  <c r="E1813" i="1"/>
  <c r="H1812" i="1"/>
  <c r="F1812" i="1"/>
  <c r="E1812" i="1"/>
  <c r="H1811" i="1"/>
  <c r="F1811" i="1"/>
  <c r="E1811" i="1"/>
  <c r="H1810" i="1"/>
  <c r="F1810" i="1"/>
  <c r="E1810" i="1"/>
  <c r="H1809" i="1"/>
  <c r="F1809" i="1"/>
  <c r="E1809" i="1"/>
  <c r="H1808" i="1"/>
  <c r="F1808" i="1"/>
  <c r="E1808" i="1"/>
  <c r="H1807" i="1"/>
  <c r="F1807" i="1"/>
  <c r="E1807" i="1"/>
  <c r="H1806" i="1"/>
  <c r="F1806" i="1"/>
  <c r="E1806" i="1"/>
  <c r="H1805" i="1"/>
  <c r="F1805" i="1"/>
  <c r="E1805" i="1"/>
  <c r="H1804" i="1"/>
  <c r="F1804" i="1"/>
  <c r="E1804" i="1"/>
  <c r="H1803" i="1"/>
  <c r="F1803" i="1"/>
  <c r="E1803" i="1"/>
  <c r="H1802" i="1"/>
  <c r="F1802" i="1"/>
  <c r="E1802" i="1"/>
  <c r="H1801" i="1"/>
  <c r="F1801" i="1"/>
  <c r="E1801" i="1"/>
  <c r="H1800" i="1"/>
  <c r="F1800" i="1"/>
  <c r="E1800" i="1"/>
  <c r="H1799" i="1"/>
  <c r="F1799" i="1"/>
  <c r="E1799" i="1"/>
  <c r="H1798" i="1"/>
  <c r="F1798" i="1"/>
  <c r="E1798" i="1"/>
  <c r="H1797" i="1"/>
  <c r="F1797" i="1"/>
  <c r="E1797" i="1"/>
  <c r="H1796" i="1"/>
  <c r="F1796" i="1"/>
  <c r="E1796" i="1"/>
  <c r="H1795" i="1"/>
  <c r="F1795" i="1"/>
  <c r="E1795" i="1"/>
  <c r="H1794" i="1"/>
  <c r="F1794" i="1"/>
  <c r="E1794" i="1"/>
  <c r="H1793" i="1"/>
  <c r="F1793" i="1"/>
  <c r="E1793" i="1"/>
  <c r="H1792" i="1"/>
  <c r="F1792" i="1"/>
  <c r="E1792" i="1"/>
  <c r="H1791" i="1"/>
  <c r="F1791" i="1"/>
  <c r="E1791" i="1"/>
  <c r="H1790" i="1"/>
  <c r="F1790" i="1"/>
  <c r="E1790" i="1"/>
  <c r="H1789" i="1"/>
  <c r="F1789" i="1"/>
  <c r="E1789" i="1"/>
  <c r="H1788" i="1"/>
  <c r="F1788" i="1"/>
  <c r="E1788" i="1"/>
  <c r="H1787" i="1"/>
  <c r="F1787" i="1"/>
  <c r="E1787" i="1"/>
  <c r="H1786" i="1"/>
  <c r="F1786" i="1"/>
  <c r="E1786" i="1"/>
  <c r="H1785" i="1"/>
  <c r="F1785" i="1"/>
  <c r="E1785" i="1"/>
  <c r="H1784" i="1"/>
  <c r="F1784" i="1"/>
  <c r="E1784" i="1"/>
  <c r="H1783" i="1"/>
  <c r="F1783" i="1"/>
  <c r="E1783" i="1"/>
  <c r="H1782" i="1"/>
  <c r="F1782" i="1"/>
  <c r="E1782" i="1"/>
  <c r="H1781" i="1"/>
  <c r="F1781" i="1"/>
  <c r="E1781" i="1"/>
  <c r="H1780" i="1"/>
  <c r="F1780" i="1"/>
  <c r="E1780" i="1"/>
  <c r="H1779" i="1"/>
  <c r="F1779" i="1"/>
  <c r="E1779" i="1"/>
  <c r="H1778" i="1"/>
  <c r="F1778" i="1"/>
  <c r="E1778" i="1"/>
  <c r="H1777" i="1"/>
  <c r="F1777" i="1"/>
  <c r="E1777" i="1"/>
  <c r="H1776" i="1"/>
  <c r="F1776" i="1"/>
  <c r="E1776" i="1"/>
  <c r="H1775" i="1"/>
  <c r="F1775" i="1"/>
  <c r="E1775" i="1"/>
  <c r="H1774" i="1"/>
  <c r="F1774" i="1"/>
  <c r="E1774" i="1"/>
  <c r="H1773" i="1"/>
  <c r="F1773" i="1"/>
  <c r="E1773" i="1"/>
  <c r="H1772" i="1"/>
  <c r="F1772" i="1"/>
  <c r="E1772" i="1"/>
  <c r="H1771" i="1"/>
  <c r="F1771" i="1"/>
  <c r="E1771" i="1"/>
  <c r="H1770" i="1"/>
  <c r="F1770" i="1"/>
  <c r="E1770" i="1"/>
  <c r="H1769" i="1"/>
  <c r="F1769" i="1"/>
  <c r="E1769" i="1"/>
  <c r="H1768" i="1"/>
  <c r="F1768" i="1"/>
  <c r="E1768" i="1"/>
  <c r="H1767" i="1"/>
  <c r="F1767" i="1"/>
  <c r="E1767" i="1"/>
  <c r="H1766" i="1"/>
  <c r="F1766" i="1"/>
  <c r="E1766" i="1"/>
  <c r="H1765" i="1"/>
  <c r="F1765" i="1"/>
  <c r="E1765" i="1"/>
  <c r="H1764" i="1"/>
  <c r="F1764" i="1"/>
  <c r="E1764" i="1"/>
  <c r="H1763" i="1"/>
  <c r="F1763" i="1"/>
  <c r="E1763" i="1"/>
  <c r="H1762" i="1"/>
  <c r="F1762" i="1"/>
  <c r="E1762" i="1"/>
  <c r="H1761" i="1"/>
  <c r="F1761" i="1"/>
  <c r="E1761" i="1"/>
  <c r="H1760" i="1"/>
  <c r="F1760" i="1"/>
  <c r="E1760" i="1"/>
  <c r="H1759" i="1"/>
  <c r="F1759" i="1"/>
  <c r="E1759" i="1"/>
  <c r="H1758" i="1"/>
  <c r="F1758" i="1"/>
  <c r="E1758" i="1"/>
  <c r="H1757" i="1"/>
  <c r="F1757" i="1"/>
  <c r="E1757" i="1"/>
  <c r="H1756" i="1"/>
  <c r="F1756" i="1"/>
  <c r="E1756" i="1"/>
  <c r="H1755" i="1"/>
  <c r="F1755" i="1"/>
  <c r="E1755" i="1"/>
  <c r="H1754" i="1"/>
  <c r="F1754" i="1"/>
  <c r="E1754" i="1"/>
  <c r="H1753" i="1"/>
  <c r="F1753" i="1"/>
  <c r="E1753" i="1"/>
  <c r="H1752" i="1"/>
  <c r="F1752" i="1"/>
  <c r="E1752" i="1"/>
  <c r="H1751" i="1"/>
  <c r="F1751" i="1"/>
  <c r="E1751" i="1"/>
  <c r="H1750" i="1"/>
  <c r="F1750" i="1"/>
  <c r="E1750" i="1"/>
  <c r="H1749" i="1"/>
  <c r="F1749" i="1"/>
  <c r="E1749" i="1"/>
  <c r="H1748" i="1"/>
  <c r="F1748" i="1"/>
  <c r="E1748" i="1"/>
  <c r="H1747" i="1"/>
  <c r="F1747" i="1"/>
  <c r="E1747" i="1"/>
  <c r="H1746" i="1"/>
  <c r="F1746" i="1"/>
  <c r="E1746" i="1"/>
  <c r="H1745" i="1"/>
  <c r="F1745" i="1"/>
  <c r="E1745" i="1"/>
  <c r="H1744" i="1"/>
  <c r="F1744" i="1"/>
  <c r="E1744" i="1"/>
  <c r="H1743" i="1"/>
  <c r="F1743" i="1"/>
  <c r="E1743" i="1"/>
  <c r="H1742" i="1"/>
  <c r="F1742" i="1"/>
  <c r="E1742" i="1"/>
  <c r="H1741" i="1"/>
  <c r="F1741" i="1"/>
  <c r="E1741" i="1"/>
  <c r="H1740" i="1"/>
  <c r="F1740" i="1"/>
  <c r="E1740" i="1"/>
  <c r="H1739" i="1"/>
  <c r="F1739" i="1"/>
  <c r="E1739" i="1"/>
  <c r="H1738" i="1"/>
  <c r="F1738" i="1"/>
  <c r="E1738" i="1"/>
  <c r="H1737" i="1"/>
  <c r="F1737" i="1"/>
  <c r="E1737" i="1"/>
  <c r="H1736" i="1"/>
  <c r="F1736" i="1"/>
  <c r="E1736" i="1"/>
  <c r="H1735" i="1"/>
  <c r="F1735" i="1"/>
  <c r="E1735" i="1"/>
  <c r="H1734" i="1"/>
  <c r="F1734" i="1"/>
  <c r="E1734" i="1"/>
  <c r="H1733" i="1"/>
  <c r="F1733" i="1"/>
  <c r="E1733" i="1"/>
  <c r="H1732" i="1"/>
  <c r="F1732" i="1"/>
  <c r="E1732" i="1"/>
  <c r="H1731" i="1"/>
  <c r="F1731" i="1"/>
  <c r="E1731" i="1"/>
  <c r="H1730" i="1"/>
  <c r="F1730" i="1"/>
  <c r="E1730" i="1"/>
  <c r="H1729" i="1"/>
  <c r="F1729" i="1"/>
  <c r="E1729" i="1"/>
  <c r="H1728" i="1"/>
  <c r="F1728" i="1"/>
  <c r="E1728" i="1"/>
  <c r="H1727" i="1"/>
  <c r="F1727" i="1"/>
  <c r="E1727" i="1"/>
  <c r="H1726" i="1"/>
  <c r="F1726" i="1"/>
  <c r="E1726" i="1"/>
  <c r="H1725" i="1"/>
  <c r="F1725" i="1"/>
  <c r="E1725" i="1"/>
  <c r="H1724" i="1"/>
  <c r="F1724" i="1"/>
  <c r="E1724" i="1"/>
  <c r="H1723" i="1"/>
  <c r="F1723" i="1"/>
  <c r="E1723" i="1"/>
  <c r="H1722" i="1"/>
  <c r="F1722" i="1"/>
  <c r="E1722" i="1"/>
  <c r="H1721" i="1"/>
  <c r="F1721" i="1"/>
  <c r="E1721" i="1"/>
  <c r="H1720" i="1"/>
  <c r="F1720" i="1"/>
  <c r="E1720" i="1"/>
  <c r="H1719" i="1"/>
  <c r="F1719" i="1"/>
  <c r="E1719" i="1"/>
  <c r="H1718" i="1"/>
  <c r="F1718" i="1"/>
  <c r="E1718" i="1"/>
  <c r="H1717" i="1"/>
  <c r="F1717" i="1"/>
  <c r="E1717" i="1"/>
  <c r="H1716" i="1"/>
  <c r="F1716" i="1"/>
  <c r="E1716" i="1"/>
  <c r="H1715" i="1"/>
  <c r="F1715" i="1"/>
  <c r="E1715" i="1"/>
  <c r="H1714" i="1"/>
  <c r="F1714" i="1"/>
  <c r="E1714" i="1"/>
  <c r="H1713" i="1"/>
  <c r="F1713" i="1"/>
  <c r="E1713" i="1"/>
  <c r="H1712" i="1"/>
  <c r="F1712" i="1"/>
  <c r="E1712" i="1"/>
  <c r="H1711" i="1"/>
  <c r="F1711" i="1"/>
  <c r="E1711" i="1"/>
  <c r="H1710" i="1"/>
  <c r="F1710" i="1"/>
  <c r="E1710" i="1"/>
  <c r="H1709" i="1"/>
  <c r="F1709" i="1"/>
  <c r="E1709" i="1"/>
  <c r="H1708" i="1"/>
  <c r="F1708" i="1"/>
  <c r="E1708" i="1"/>
  <c r="H1707" i="1"/>
  <c r="F1707" i="1"/>
  <c r="E1707" i="1"/>
  <c r="H1706" i="1"/>
  <c r="F1706" i="1"/>
  <c r="E1706" i="1"/>
  <c r="H1705" i="1"/>
  <c r="F1705" i="1"/>
  <c r="E1705" i="1"/>
  <c r="H1704" i="1"/>
  <c r="F1704" i="1"/>
  <c r="E1704" i="1"/>
  <c r="H1703" i="1"/>
  <c r="F1703" i="1"/>
  <c r="E1703" i="1"/>
  <c r="H1702" i="1"/>
  <c r="F1702" i="1"/>
  <c r="E1702" i="1"/>
  <c r="H1701" i="1"/>
  <c r="F1701" i="1"/>
  <c r="E1701" i="1"/>
  <c r="H1700" i="1"/>
  <c r="F1700" i="1"/>
  <c r="E1700" i="1"/>
  <c r="H1699" i="1"/>
  <c r="F1699" i="1"/>
  <c r="E1699" i="1"/>
  <c r="H1698" i="1"/>
  <c r="F1698" i="1"/>
  <c r="E1698" i="1"/>
  <c r="H1697" i="1"/>
  <c r="F1697" i="1"/>
  <c r="E1697" i="1"/>
  <c r="H1696" i="1"/>
  <c r="F1696" i="1"/>
  <c r="E1696" i="1"/>
  <c r="H1695" i="1"/>
  <c r="F1695" i="1"/>
  <c r="E1695" i="1"/>
  <c r="H1694" i="1"/>
  <c r="F1694" i="1"/>
  <c r="E1694" i="1"/>
  <c r="H1693" i="1"/>
  <c r="F1693" i="1"/>
  <c r="E1693" i="1"/>
  <c r="H1692" i="1"/>
  <c r="F1692" i="1"/>
  <c r="E1692" i="1"/>
  <c r="H1691" i="1"/>
  <c r="F1691" i="1"/>
  <c r="E1691" i="1"/>
  <c r="H1690" i="1"/>
  <c r="F1690" i="1"/>
  <c r="E1690" i="1"/>
  <c r="H1689" i="1"/>
  <c r="F1689" i="1"/>
  <c r="E1689" i="1"/>
  <c r="H1688" i="1"/>
  <c r="F1688" i="1"/>
  <c r="E1688" i="1"/>
  <c r="H1687" i="1"/>
  <c r="F1687" i="1"/>
  <c r="E1687" i="1"/>
  <c r="H1686" i="1"/>
  <c r="F1686" i="1"/>
  <c r="E1686" i="1"/>
  <c r="H1685" i="1"/>
  <c r="F1685" i="1"/>
  <c r="E1685" i="1"/>
  <c r="H1684" i="1"/>
  <c r="F1684" i="1"/>
  <c r="E1684" i="1"/>
  <c r="H1683" i="1"/>
  <c r="F1683" i="1"/>
  <c r="E1683" i="1"/>
  <c r="H1682" i="1"/>
  <c r="F1682" i="1"/>
  <c r="E1682" i="1"/>
  <c r="H1681" i="1"/>
  <c r="F1681" i="1"/>
  <c r="E1681" i="1"/>
  <c r="H1680" i="1"/>
  <c r="F1680" i="1"/>
  <c r="E1680" i="1"/>
  <c r="H1679" i="1"/>
  <c r="F1679" i="1"/>
  <c r="E1679" i="1"/>
  <c r="H1678" i="1"/>
  <c r="F1678" i="1"/>
  <c r="E1678" i="1"/>
  <c r="H1677" i="1"/>
  <c r="F1677" i="1"/>
  <c r="E1677" i="1"/>
  <c r="H1676" i="1"/>
  <c r="F1676" i="1"/>
  <c r="E1676" i="1"/>
  <c r="H1675" i="1"/>
  <c r="F1675" i="1"/>
  <c r="E1675" i="1"/>
  <c r="H1674" i="1"/>
  <c r="F1674" i="1"/>
  <c r="E1674" i="1"/>
  <c r="H1673" i="1"/>
  <c r="F1673" i="1"/>
  <c r="E1673" i="1"/>
  <c r="H1672" i="1"/>
  <c r="F1672" i="1"/>
  <c r="E1672" i="1"/>
  <c r="H1671" i="1"/>
  <c r="F1671" i="1"/>
  <c r="E1671" i="1"/>
  <c r="H1670" i="1"/>
  <c r="F1670" i="1"/>
  <c r="E1670" i="1"/>
  <c r="H1669" i="1"/>
  <c r="F1669" i="1"/>
  <c r="E1669" i="1"/>
  <c r="H1668" i="1"/>
  <c r="F1668" i="1"/>
  <c r="E1668" i="1"/>
  <c r="H1667" i="1"/>
  <c r="F1667" i="1"/>
  <c r="E1667" i="1"/>
  <c r="H1666" i="1"/>
  <c r="F1666" i="1"/>
  <c r="E1666" i="1"/>
  <c r="H1665" i="1"/>
  <c r="F1665" i="1"/>
  <c r="E1665" i="1"/>
  <c r="H1664" i="1"/>
  <c r="F1664" i="1"/>
  <c r="E1664" i="1"/>
  <c r="H1663" i="1"/>
  <c r="F1663" i="1"/>
  <c r="E1663" i="1"/>
  <c r="H1662" i="1"/>
  <c r="F1662" i="1"/>
  <c r="E1662" i="1"/>
  <c r="H1661" i="1"/>
  <c r="F1661" i="1"/>
  <c r="E1661" i="1"/>
  <c r="H1660" i="1"/>
  <c r="F1660" i="1"/>
  <c r="E1660" i="1"/>
  <c r="H1659" i="1"/>
  <c r="F1659" i="1"/>
  <c r="E1659" i="1"/>
  <c r="H1658" i="1"/>
  <c r="F1658" i="1"/>
  <c r="E1658" i="1"/>
  <c r="H1657" i="1"/>
  <c r="F1657" i="1"/>
  <c r="E1657" i="1"/>
  <c r="H1656" i="1"/>
  <c r="F1656" i="1"/>
  <c r="E1656" i="1"/>
  <c r="H1655" i="1"/>
  <c r="F1655" i="1"/>
  <c r="E1655" i="1"/>
  <c r="H1654" i="1"/>
  <c r="F1654" i="1"/>
  <c r="E1654" i="1"/>
  <c r="H1653" i="1"/>
  <c r="F1653" i="1"/>
  <c r="E1653" i="1"/>
  <c r="H1652" i="1"/>
  <c r="F1652" i="1"/>
  <c r="E1652" i="1"/>
  <c r="H1651" i="1"/>
  <c r="F1651" i="1"/>
  <c r="E1651" i="1"/>
  <c r="H1650" i="1"/>
  <c r="F1650" i="1"/>
  <c r="E1650" i="1"/>
  <c r="H1649" i="1"/>
  <c r="F1649" i="1"/>
  <c r="E1649" i="1"/>
  <c r="H1648" i="1"/>
  <c r="F1648" i="1"/>
  <c r="E1648" i="1"/>
  <c r="H1647" i="1"/>
  <c r="F1647" i="1"/>
  <c r="E1647" i="1"/>
  <c r="H1646" i="1"/>
  <c r="F1646" i="1"/>
  <c r="E1646" i="1"/>
  <c r="H1645" i="1"/>
  <c r="F1645" i="1"/>
  <c r="E1645" i="1"/>
  <c r="H1644" i="1"/>
  <c r="F1644" i="1"/>
  <c r="E1644" i="1"/>
  <c r="H1643" i="1"/>
  <c r="F1643" i="1"/>
  <c r="E1643" i="1"/>
  <c r="H1642" i="1"/>
  <c r="F1642" i="1"/>
  <c r="E1642" i="1"/>
  <c r="H1641" i="1"/>
  <c r="F1641" i="1"/>
  <c r="E1641" i="1"/>
  <c r="H1640" i="1"/>
  <c r="F1640" i="1"/>
  <c r="E1640" i="1"/>
  <c r="H1639" i="1"/>
  <c r="F1639" i="1"/>
  <c r="E1639" i="1"/>
  <c r="H1638" i="1"/>
  <c r="F1638" i="1"/>
  <c r="E1638" i="1"/>
  <c r="H1637" i="1"/>
  <c r="F1637" i="1"/>
  <c r="E1637" i="1"/>
  <c r="H1636" i="1"/>
  <c r="F1636" i="1"/>
  <c r="E1636" i="1"/>
  <c r="H1635" i="1"/>
  <c r="F1635" i="1"/>
  <c r="E1635" i="1"/>
  <c r="H1634" i="1"/>
  <c r="F1634" i="1"/>
  <c r="E1634" i="1"/>
  <c r="H1633" i="1"/>
  <c r="F1633" i="1"/>
  <c r="E1633" i="1"/>
  <c r="H1632" i="1"/>
  <c r="F1632" i="1"/>
  <c r="E1632" i="1"/>
  <c r="H1631" i="1"/>
  <c r="F1631" i="1"/>
  <c r="E1631" i="1"/>
  <c r="H1630" i="1"/>
  <c r="F1630" i="1"/>
  <c r="E1630" i="1"/>
  <c r="H1629" i="1"/>
  <c r="F1629" i="1"/>
  <c r="E1629" i="1"/>
  <c r="H1628" i="1"/>
  <c r="F1628" i="1"/>
  <c r="E1628" i="1"/>
  <c r="H1627" i="1"/>
  <c r="F1627" i="1"/>
  <c r="E1627" i="1"/>
  <c r="H1626" i="1"/>
  <c r="F1626" i="1"/>
  <c r="E1626" i="1"/>
  <c r="H1625" i="1"/>
  <c r="F1625" i="1"/>
  <c r="E1625" i="1"/>
  <c r="H1624" i="1"/>
  <c r="F1624" i="1"/>
  <c r="E1624" i="1"/>
  <c r="H1623" i="1"/>
  <c r="F1623" i="1"/>
  <c r="E1623" i="1"/>
  <c r="H1622" i="1"/>
  <c r="F1622" i="1"/>
  <c r="E1622" i="1"/>
  <c r="H1621" i="1"/>
  <c r="F1621" i="1"/>
  <c r="E1621" i="1"/>
  <c r="H1620" i="1"/>
  <c r="F1620" i="1"/>
  <c r="E1620" i="1"/>
  <c r="H1619" i="1"/>
  <c r="F1619" i="1"/>
  <c r="E1619" i="1"/>
  <c r="H1618" i="1"/>
  <c r="F1618" i="1"/>
  <c r="E1618" i="1"/>
  <c r="H1617" i="1"/>
  <c r="F1617" i="1"/>
  <c r="E1617" i="1"/>
  <c r="H1616" i="1"/>
  <c r="F1616" i="1"/>
  <c r="E1616" i="1"/>
  <c r="H1615" i="1"/>
  <c r="F1615" i="1"/>
  <c r="E1615" i="1"/>
  <c r="H1614" i="1"/>
  <c r="F1614" i="1"/>
  <c r="E1614" i="1"/>
  <c r="H1613" i="1"/>
  <c r="F1613" i="1"/>
  <c r="E1613" i="1"/>
  <c r="H1612" i="1"/>
  <c r="F1612" i="1"/>
  <c r="E1612" i="1"/>
  <c r="H1611" i="1"/>
  <c r="F1611" i="1"/>
  <c r="E1611" i="1"/>
  <c r="H1610" i="1"/>
  <c r="F1610" i="1"/>
  <c r="E1610" i="1"/>
  <c r="H1609" i="1"/>
  <c r="F1609" i="1"/>
  <c r="E1609" i="1"/>
  <c r="H1608" i="1"/>
  <c r="F1608" i="1"/>
  <c r="E1608" i="1"/>
  <c r="H1607" i="1"/>
  <c r="F1607" i="1"/>
  <c r="E1607" i="1"/>
  <c r="H1606" i="1"/>
  <c r="F1606" i="1"/>
  <c r="E1606" i="1"/>
  <c r="H1605" i="1"/>
  <c r="F1605" i="1"/>
  <c r="E1605" i="1"/>
  <c r="H1604" i="1"/>
  <c r="F1604" i="1"/>
  <c r="E1604" i="1"/>
  <c r="H1603" i="1"/>
  <c r="F1603" i="1"/>
  <c r="E1603" i="1"/>
  <c r="H1602" i="1"/>
  <c r="F1602" i="1"/>
  <c r="E1602" i="1"/>
  <c r="H1601" i="1"/>
  <c r="F1601" i="1"/>
  <c r="E1601" i="1"/>
  <c r="H1600" i="1"/>
  <c r="F1600" i="1"/>
  <c r="E1600" i="1"/>
  <c r="H1599" i="1"/>
  <c r="F1599" i="1"/>
  <c r="E1599" i="1"/>
  <c r="H1598" i="1"/>
  <c r="F1598" i="1"/>
  <c r="E1598" i="1"/>
  <c r="H1597" i="1"/>
  <c r="F1597" i="1"/>
  <c r="E1597" i="1"/>
  <c r="H1596" i="1"/>
  <c r="F1596" i="1"/>
  <c r="E1596" i="1"/>
  <c r="H1595" i="1"/>
  <c r="F1595" i="1"/>
  <c r="E1595" i="1"/>
  <c r="H1594" i="1"/>
  <c r="F1594" i="1"/>
  <c r="E1594" i="1"/>
  <c r="H1593" i="1"/>
  <c r="F1593" i="1"/>
  <c r="E1593" i="1"/>
  <c r="H1592" i="1"/>
  <c r="F1592" i="1"/>
  <c r="E1592" i="1"/>
  <c r="H1591" i="1"/>
  <c r="F1591" i="1"/>
  <c r="E1591" i="1"/>
  <c r="H1590" i="1"/>
  <c r="F1590" i="1"/>
  <c r="E1590" i="1"/>
  <c r="H1589" i="1"/>
  <c r="F1589" i="1"/>
  <c r="E1589" i="1"/>
  <c r="H1588" i="1"/>
  <c r="F1588" i="1"/>
  <c r="E1588" i="1"/>
  <c r="H1587" i="1"/>
  <c r="F1587" i="1"/>
  <c r="E1587" i="1"/>
  <c r="H1586" i="1"/>
  <c r="F1586" i="1"/>
  <c r="E1586" i="1"/>
  <c r="H1585" i="1"/>
  <c r="F1585" i="1"/>
  <c r="E1585" i="1"/>
  <c r="H1584" i="1"/>
  <c r="F1584" i="1"/>
  <c r="E1584" i="1"/>
  <c r="H1583" i="1"/>
  <c r="F1583" i="1"/>
  <c r="E1583" i="1"/>
  <c r="H1582" i="1"/>
  <c r="F1582" i="1"/>
  <c r="E1582" i="1"/>
  <c r="H1581" i="1"/>
  <c r="F1581" i="1"/>
  <c r="E1581" i="1"/>
  <c r="H1580" i="1"/>
  <c r="F1580" i="1"/>
  <c r="E1580" i="1"/>
  <c r="H1579" i="1"/>
  <c r="F1579" i="1"/>
  <c r="E1579" i="1"/>
  <c r="H1578" i="1"/>
  <c r="F1578" i="1"/>
  <c r="E1578" i="1"/>
  <c r="H1577" i="1"/>
  <c r="F1577" i="1"/>
  <c r="E1577" i="1"/>
  <c r="H1576" i="1"/>
  <c r="F1576" i="1"/>
  <c r="E1576" i="1"/>
  <c r="H1575" i="1"/>
  <c r="F1575" i="1"/>
  <c r="E1575" i="1"/>
  <c r="H1574" i="1"/>
  <c r="F1574" i="1"/>
  <c r="E1574" i="1"/>
  <c r="H1573" i="1"/>
  <c r="F1573" i="1"/>
  <c r="E1573" i="1"/>
  <c r="H1572" i="1"/>
  <c r="F1572" i="1"/>
  <c r="E1572" i="1"/>
  <c r="H1571" i="1"/>
  <c r="F1571" i="1"/>
  <c r="E1571" i="1"/>
  <c r="H1570" i="1"/>
  <c r="F1570" i="1"/>
  <c r="E1570" i="1"/>
  <c r="H1569" i="1"/>
  <c r="F1569" i="1"/>
  <c r="E1569" i="1"/>
  <c r="H1568" i="1"/>
  <c r="F1568" i="1"/>
  <c r="E1568" i="1"/>
  <c r="H1567" i="1"/>
  <c r="F1567" i="1"/>
  <c r="E1567" i="1"/>
  <c r="H1566" i="1"/>
  <c r="F1566" i="1"/>
  <c r="E1566" i="1"/>
  <c r="H1565" i="1"/>
  <c r="F1565" i="1"/>
  <c r="E1565" i="1"/>
  <c r="H1564" i="1"/>
  <c r="F1564" i="1"/>
  <c r="E1564" i="1"/>
  <c r="H1563" i="1"/>
  <c r="F1563" i="1"/>
  <c r="E1563" i="1"/>
  <c r="H1562" i="1"/>
  <c r="F1562" i="1"/>
  <c r="E1562" i="1"/>
  <c r="H1561" i="1"/>
  <c r="F1561" i="1"/>
  <c r="E1561" i="1"/>
  <c r="H1560" i="1"/>
  <c r="F1560" i="1"/>
  <c r="E1560" i="1"/>
  <c r="H1559" i="1"/>
  <c r="F1559" i="1"/>
  <c r="E1559" i="1"/>
  <c r="H1558" i="1"/>
  <c r="F1558" i="1"/>
  <c r="E1558" i="1"/>
  <c r="H1557" i="1"/>
  <c r="F1557" i="1"/>
  <c r="E1557" i="1"/>
  <c r="H1556" i="1"/>
  <c r="F1556" i="1"/>
  <c r="E1556" i="1"/>
  <c r="H1555" i="1"/>
  <c r="F1555" i="1"/>
  <c r="E1555" i="1"/>
  <c r="H1554" i="1"/>
  <c r="F1554" i="1"/>
  <c r="E1554" i="1"/>
  <c r="H1553" i="1"/>
  <c r="F1553" i="1"/>
  <c r="E1553" i="1"/>
  <c r="H1552" i="1"/>
  <c r="F1552" i="1"/>
  <c r="E1552" i="1"/>
  <c r="H1551" i="1"/>
  <c r="F1551" i="1"/>
  <c r="E1551" i="1"/>
  <c r="H1550" i="1"/>
  <c r="F1550" i="1"/>
  <c r="E1550" i="1"/>
  <c r="H1549" i="1"/>
  <c r="F1549" i="1"/>
  <c r="E1549" i="1"/>
  <c r="H1548" i="1"/>
  <c r="F1548" i="1"/>
  <c r="E1548" i="1"/>
  <c r="H1547" i="1"/>
  <c r="F1547" i="1"/>
  <c r="E1547" i="1"/>
  <c r="H1546" i="1"/>
  <c r="F1546" i="1"/>
  <c r="E1546" i="1"/>
  <c r="H1545" i="1"/>
  <c r="F1545" i="1"/>
  <c r="E1545" i="1"/>
  <c r="H1544" i="1"/>
  <c r="F1544" i="1"/>
  <c r="E1544" i="1"/>
  <c r="H1543" i="1"/>
  <c r="F1543" i="1"/>
  <c r="E1543" i="1"/>
  <c r="H1542" i="1"/>
  <c r="F1542" i="1"/>
  <c r="E1542" i="1"/>
  <c r="H1541" i="1"/>
  <c r="F1541" i="1"/>
  <c r="E1541" i="1"/>
  <c r="H1540" i="1"/>
  <c r="F1540" i="1"/>
  <c r="E1540" i="1"/>
  <c r="H1539" i="1"/>
  <c r="F1539" i="1"/>
  <c r="E1539" i="1"/>
  <c r="H1538" i="1"/>
  <c r="F1538" i="1"/>
  <c r="E1538" i="1"/>
  <c r="H1537" i="1"/>
  <c r="F1537" i="1"/>
  <c r="E1537" i="1"/>
  <c r="H1536" i="1"/>
  <c r="F1536" i="1"/>
  <c r="E1536" i="1"/>
  <c r="H1535" i="1"/>
  <c r="F1535" i="1"/>
  <c r="E1535" i="1"/>
  <c r="H1534" i="1"/>
  <c r="F1534" i="1"/>
  <c r="E1534" i="1"/>
  <c r="H1533" i="1"/>
  <c r="F1533" i="1"/>
  <c r="E1533" i="1"/>
  <c r="H1532" i="1"/>
  <c r="F1532" i="1"/>
  <c r="E1532" i="1"/>
  <c r="H1531" i="1"/>
  <c r="F1531" i="1"/>
  <c r="E1531" i="1"/>
  <c r="H1530" i="1"/>
  <c r="F1530" i="1"/>
  <c r="E1530" i="1"/>
  <c r="H1529" i="1"/>
  <c r="F1529" i="1"/>
  <c r="E1529" i="1"/>
  <c r="H1528" i="1"/>
  <c r="F1528" i="1"/>
  <c r="E1528" i="1"/>
  <c r="H1527" i="1"/>
  <c r="F1527" i="1"/>
  <c r="E1527" i="1"/>
  <c r="H1526" i="1"/>
  <c r="F1526" i="1"/>
  <c r="E1526" i="1"/>
  <c r="H1525" i="1"/>
  <c r="F1525" i="1"/>
  <c r="E1525" i="1"/>
  <c r="H1524" i="1"/>
  <c r="F1524" i="1"/>
  <c r="E1524" i="1"/>
  <c r="H1523" i="1"/>
  <c r="F1523" i="1"/>
  <c r="E1523" i="1"/>
  <c r="H1522" i="1"/>
  <c r="F1522" i="1"/>
  <c r="E1522" i="1"/>
  <c r="H1521" i="1"/>
  <c r="F1521" i="1"/>
  <c r="E1521" i="1"/>
  <c r="H1520" i="1"/>
  <c r="F1520" i="1"/>
  <c r="E1520" i="1"/>
  <c r="H1519" i="1"/>
  <c r="F1519" i="1"/>
  <c r="E1519" i="1"/>
  <c r="H1518" i="1"/>
  <c r="F1518" i="1"/>
  <c r="E1518" i="1"/>
  <c r="H1517" i="1"/>
  <c r="F1517" i="1"/>
  <c r="E1517" i="1"/>
  <c r="H1516" i="1"/>
  <c r="F1516" i="1"/>
  <c r="E1516" i="1"/>
  <c r="H1515" i="1"/>
  <c r="F1515" i="1"/>
  <c r="E1515" i="1"/>
  <c r="H1514" i="1"/>
  <c r="F1514" i="1"/>
  <c r="E1514" i="1"/>
  <c r="H1513" i="1"/>
  <c r="F1513" i="1"/>
  <c r="E1513" i="1"/>
  <c r="H1512" i="1"/>
  <c r="F1512" i="1"/>
  <c r="E1512" i="1"/>
  <c r="H1511" i="1"/>
  <c r="F1511" i="1"/>
  <c r="E1511" i="1"/>
  <c r="H1510" i="1"/>
  <c r="F1510" i="1"/>
  <c r="E1510" i="1"/>
  <c r="H1509" i="1"/>
  <c r="F1509" i="1"/>
  <c r="E1509" i="1"/>
  <c r="H1508" i="1"/>
  <c r="F1508" i="1"/>
  <c r="E1508" i="1"/>
  <c r="H1507" i="1"/>
  <c r="F1507" i="1"/>
  <c r="E1507" i="1"/>
  <c r="H1506" i="1"/>
  <c r="F1506" i="1"/>
  <c r="E1506" i="1"/>
  <c r="H1505" i="1"/>
  <c r="F1505" i="1"/>
  <c r="E1505" i="1"/>
  <c r="H1504" i="1"/>
  <c r="F1504" i="1"/>
  <c r="E1504" i="1"/>
  <c r="H1503" i="1"/>
  <c r="F1503" i="1"/>
  <c r="E1503" i="1"/>
  <c r="H1502" i="1"/>
  <c r="F1502" i="1"/>
  <c r="E1502" i="1"/>
  <c r="H1501" i="1"/>
  <c r="F1501" i="1"/>
  <c r="E1501" i="1"/>
  <c r="H1500" i="1"/>
  <c r="F1500" i="1"/>
  <c r="E1500" i="1"/>
  <c r="H1499" i="1"/>
  <c r="F1499" i="1"/>
  <c r="E1499" i="1"/>
  <c r="H1498" i="1"/>
  <c r="F1498" i="1"/>
  <c r="E1498" i="1"/>
  <c r="H1497" i="1"/>
  <c r="F1497" i="1"/>
  <c r="E1497" i="1"/>
  <c r="H1496" i="1"/>
  <c r="F1496" i="1"/>
  <c r="E1496" i="1"/>
  <c r="H1495" i="1"/>
  <c r="F1495" i="1"/>
  <c r="E1495" i="1"/>
  <c r="H1494" i="1"/>
  <c r="F1494" i="1"/>
  <c r="E1494" i="1"/>
  <c r="H1493" i="1"/>
  <c r="F1493" i="1"/>
  <c r="E1493" i="1"/>
  <c r="H1492" i="1"/>
  <c r="F1492" i="1"/>
  <c r="E1492" i="1"/>
  <c r="H1491" i="1"/>
  <c r="F1491" i="1"/>
  <c r="E1491" i="1"/>
  <c r="H1490" i="1"/>
  <c r="F1490" i="1"/>
  <c r="E1490" i="1"/>
  <c r="H1489" i="1"/>
  <c r="F1489" i="1"/>
  <c r="E1489" i="1"/>
  <c r="H1488" i="1"/>
  <c r="F1488" i="1"/>
  <c r="E1488" i="1"/>
  <c r="H1487" i="1"/>
  <c r="F1487" i="1"/>
  <c r="E1487" i="1"/>
  <c r="H1486" i="1"/>
  <c r="F1486" i="1"/>
  <c r="E1486" i="1"/>
  <c r="H1485" i="1"/>
  <c r="F1485" i="1"/>
  <c r="E1485" i="1"/>
  <c r="H1484" i="1"/>
  <c r="F1484" i="1"/>
  <c r="E1484" i="1"/>
  <c r="H1483" i="1"/>
  <c r="F1483" i="1"/>
  <c r="E1483" i="1"/>
  <c r="H1482" i="1"/>
  <c r="F1482" i="1"/>
  <c r="E1482" i="1"/>
  <c r="H1481" i="1"/>
  <c r="F1481" i="1"/>
  <c r="E1481" i="1"/>
  <c r="H1480" i="1"/>
  <c r="F1480" i="1"/>
  <c r="E1480" i="1"/>
  <c r="H1479" i="1"/>
  <c r="F1479" i="1"/>
  <c r="E1479" i="1"/>
  <c r="H1478" i="1"/>
  <c r="F1478" i="1"/>
  <c r="E1478" i="1"/>
  <c r="H1477" i="1"/>
  <c r="F1477" i="1"/>
  <c r="E1477" i="1"/>
  <c r="H1476" i="1"/>
  <c r="F1476" i="1"/>
  <c r="E1476" i="1"/>
  <c r="H1475" i="1"/>
  <c r="F1475" i="1"/>
  <c r="E1475" i="1"/>
  <c r="H1474" i="1"/>
  <c r="F1474" i="1"/>
  <c r="E1474" i="1"/>
  <c r="H1473" i="1"/>
  <c r="F1473" i="1"/>
  <c r="E1473" i="1"/>
  <c r="H1472" i="1"/>
  <c r="F1472" i="1"/>
  <c r="E1472" i="1"/>
  <c r="H1471" i="1"/>
  <c r="F1471" i="1"/>
  <c r="E1471" i="1"/>
  <c r="H1470" i="1"/>
  <c r="F1470" i="1"/>
  <c r="E1470" i="1"/>
  <c r="H1469" i="1"/>
  <c r="F1469" i="1"/>
  <c r="E1469" i="1"/>
  <c r="H1468" i="1"/>
  <c r="F1468" i="1"/>
  <c r="E1468" i="1"/>
  <c r="H1467" i="1"/>
  <c r="F1467" i="1"/>
  <c r="E1467" i="1"/>
  <c r="H1466" i="1"/>
  <c r="F1466" i="1"/>
  <c r="E1466" i="1"/>
  <c r="H1465" i="1"/>
  <c r="F1465" i="1"/>
  <c r="E1465" i="1"/>
  <c r="H1464" i="1"/>
  <c r="F1464" i="1"/>
  <c r="E1464" i="1"/>
  <c r="H1463" i="1"/>
  <c r="F1463" i="1"/>
  <c r="E1463" i="1"/>
  <c r="H1462" i="1"/>
  <c r="F1462" i="1"/>
  <c r="E1462" i="1"/>
  <c r="H1461" i="1"/>
  <c r="F1461" i="1"/>
  <c r="E1461" i="1"/>
  <c r="H1460" i="1"/>
  <c r="F1460" i="1"/>
  <c r="E1460" i="1"/>
  <c r="H1459" i="1"/>
  <c r="F1459" i="1"/>
  <c r="E1459" i="1"/>
  <c r="H1458" i="1"/>
  <c r="F1458" i="1"/>
  <c r="E1458" i="1"/>
  <c r="H1457" i="1"/>
  <c r="F1457" i="1"/>
  <c r="E1457" i="1"/>
  <c r="H1456" i="1"/>
  <c r="F1456" i="1"/>
  <c r="E1456" i="1"/>
  <c r="H1455" i="1"/>
  <c r="F1455" i="1"/>
  <c r="E1455" i="1"/>
  <c r="H1454" i="1"/>
  <c r="F1454" i="1"/>
  <c r="E1454" i="1"/>
  <c r="H1453" i="1"/>
  <c r="F1453" i="1"/>
  <c r="E1453" i="1"/>
  <c r="H1452" i="1"/>
  <c r="F1452" i="1"/>
  <c r="E1452" i="1"/>
  <c r="H1451" i="1"/>
  <c r="F1451" i="1"/>
  <c r="E1451" i="1"/>
  <c r="H1450" i="1"/>
  <c r="F1450" i="1"/>
  <c r="E1450" i="1"/>
  <c r="H1449" i="1"/>
  <c r="F1449" i="1"/>
  <c r="E1449" i="1"/>
  <c r="H1448" i="1"/>
  <c r="F1448" i="1"/>
  <c r="E1448" i="1"/>
  <c r="H1447" i="1"/>
  <c r="F1447" i="1"/>
  <c r="E1447" i="1"/>
  <c r="H1446" i="1"/>
  <c r="F1446" i="1"/>
  <c r="E1446" i="1"/>
  <c r="H1445" i="1"/>
  <c r="F1445" i="1"/>
  <c r="E1445" i="1"/>
  <c r="H1444" i="1"/>
  <c r="F1444" i="1"/>
  <c r="E1444" i="1"/>
  <c r="H1443" i="1"/>
  <c r="F1443" i="1"/>
  <c r="E1443" i="1"/>
  <c r="H1442" i="1"/>
  <c r="F1442" i="1"/>
  <c r="E1442" i="1"/>
  <c r="H1441" i="1"/>
  <c r="F1441" i="1"/>
  <c r="E1441" i="1"/>
  <c r="H1440" i="1"/>
  <c r="F1440" i="1"/>
  <c r="E1440" i="1"/>
  <c r="H1439" i="1"/>
  <c r="F1439" i="1"/>
  <c r="E1439" i="1"/>
  <c r="H1438" i="1"/>
  <c r="F1438" i="1"/>
  <c r="E1438" i="1"/>
  <c r="H1437" i="1"/>
  <c r="F1437" i="1"/>
  <c r="E1437" i="1"/>
  <c r="H1436" i="1"/>
  <c r="F1436" i="1"/>
  <c r="E1436" i="1"/>
  <c r="H1435" i="1"/>
  <c r="F1435" i="1"/>
  <c r="E1435" i="1"/>
  <c r="H1434" i="1"/>
  <c r="F1434" i="1"/>
  <c r="E1434" i="1"/>
  <c r="H1433" i="1"/>
  <c r="F1433" i="1"/>
  <c r="E1433" i="1"/>
  <c r="H1432" i="1"/>
  <c r="F1432" i="1"/>
  <c r="E1432" i="1"/>
  <c r="H1431" i="1"/>
  <c r="F1431" i="1"/>
  <c r="E1431" i="1"/>
  <c r="H1430" i="1"/>
  <c r="F1430" i="1"/>
  <c r="E1430" i="1"/>
  <c r="H1429" i="1"/>
  <c r="F1429" i="1"/>
  <c r="E1429" i="1"/>
  <c r="H1428" i="1"/>
  <c r="F1428" i="1"/>
  <c r="E1428" i="1"/>
  <c r="H1427" i="1"/>
  <c r="F1427" i="1"/>
  <c r="E1427" i="1"/>
  <c r="H1426" i="1"/>
  <c r="F1426" i="1"/>
  <c r="E1426" i="1"/>
  <c r="H1425" i="1"/>
  <c r="F1425" i="1"/>
  <c r="E1425" i="1"/>
  <c r="H1424" i="1"/>
  <c r="F1424" i="1"/>
  <c r="E1424" i="1"/>
  <c r="H1423" i="1"/>
  <c r="F1423" i="1"/>
  <c r="E1423" i="1"/>
  <c r="H1422" i="1"/>
  <c r="F1422" i="1"/>
  <c r="E1422" i="1"/>
  <c r="H1421" i="1"/>
  <c r="F1421" i="1"/>
  <c r="E1421" i="1"/>
  <c r="H1420" i="1"/>
  <c r="F1420" i="1"/>
  <c r="E1420" i="1"/>
  <c r="H1419" i="1"/>
  <c r="F1419" i="1"/>
  <c r="E1419" i="1"/>
  <c r="H1418" i="1"/>
  <c r="F1418" i="1"/>
  <c r="E1418" i="1"/>
  <c r="H1417" i="1"/>
  <c r="F1417" i="1"/>
  <c r="E1417" i="1"/>
  <c r="H1416" i="1"/>
  <c r="F1416" i="1"/>
  <c r="E1416" i="1"/>
  <c r="H1415" i="1"/>
  <c r="F1415" i="1"/>
  <c r="E1415" i="1"/>
  <c r="H1414" i="1"/>
  <c r="F1414" i="1"/>
  <c r="E1414" i="1"/>
  <c r="H1413" i="1"/>
  <c r="F1413" i="1"/>
  <c r="E1413" i="1"/>
  <c r="H1412" i="1"/>
  <c r="F1412" i="1"/>
  <c r="E1412" i="1"/>
  <c r="H1411" i="1"/>
  <c r="F1411" i="1"/>
  <c r="E1411" i="1"/>
  <c r="H1410" i="1"/>
  <c r="F1410" i="1"/>
  <c r="E1410" i="1"/>
  <c r="H1409" i="1"/>
  <c r="F1409" i="1"/>
  <c r="E1409" i="1"/>
  <c r="H1408" i="1"/>
  <c r="F1408" i="1"/>
  <c r="E1408" i="1"/>
  <c r="H1407" i="1"/>
  <c r="F1407" i="1"/>
  <c r="E1407" i="1"/>
  <c r="H1406" i="1"/>
  <c r="F1406" i="1"/>
  <c r="E1406" i="1"/>
  <c r="H1405" i="1"/>
  <c r="F1405" i="1"/>
  <c r="E1405" i="1"/>
  <c r="H1404" i="1"/>
  <c r="F1404" i="1"/>
  <c r="E1404" i="1"/>
  <c r="H1403" i="1"/>
  <c r="F1403" i="1"/>
  <c r="E1403" i="1"/>
  <c r="H1402" i="1"/>
  <c r="F1402" i="1"/>
  <c r="E1402" i="1"/>
  <c r="H1401" i="1"/>
  <c r="F1401" i="1"/>
  <c r="E1401" i="1"/>
  <c r="H1400" i="1"/>
  <c r="F1400" i="1"/>
  <c r="E1400" i="1"/>
  <c r="H1399" i="1"/>
  <c r="F1399" i="1"/>
  <c r="E1399" i="1"/>
  <c r="H1398" i="1"/>
  <c r="F1398" i="1"/>
  <c r="E1398" i="1"/>
  <c r="H1397" i="1"/>
  <c r="F1397" i="1"/>
  <c r="E1397" i="1"/>
  <c r="H1396" i="1"/>
  <c r="F1396" i="1"/>
  <c r="E1396" i="1"/>
  <c r="H1395" i="1"/>
  <c r="F1395" i="1"/>
  <c r="E1395" i="1"/>
  <c r="H1394" i="1"/>
  <c r="F1394" i="1"/>
  <c r="E1394" i="1"/>
  <c r="H1393" i="1"/>
  <c r="F1393" i="1"/>
  <c r="E1393" i="1"/>
  <c r="H1392" i="1"/>
  <c r="F1392" i="1"/>
  <c r="E1392" i="1"/>
  <c r="H1391" i="1"/>
  <c r="F1391" i="1"/>
  <c r="E1391" i="1"/>
  <c r="H1390" i="1"/>
  <c r="F1390" i="1"/>
  <c r="E1390" i="1"/>
  <c r="H1389" i="1"/>
  <c r="F1389" i="1"/>
  <c r="E1389" i="1"/>
  <c r="H1388" i="1"/>
  <c r="F1388" i="1"/>
  <c r="E1388" i="1"/>
  <c r="H1387" i="1"/>
  <c r="F1387" i="1"/>
  <c r="E1387" i="1"/>
  <c r="H1386" i="1"/>
  <c r="F1386" i="1"/>
  <c r="E1386" i="1"/>
  <c r="H1385" i="1"/>
  <c r="F1385" i="1"/>
  <c r="E1385" i="1"/>
  <c r="H1384" i="1"/>
  <c r="F1384" i="1"/>
  <c r="E1384" i="1"/>
  <c r="H1383" i="1"/>
  <c r="F1383" i="1"/>
  <c r="E1383" i="1"/>
  <c r="H1382" i="1"/>
  <c r="F1382" i="1"/>
  <c r="E1382" i="1"/>
  <c r="H1381" i="1"/>
  <c r="F1381" i="1"/>
  <c r="E1381" i="1"/>
  <c r="H1380" i="1"/>
  <c r="F1380" i="1"/>
  <c r="E1380" i="1"/>
  <c r="H1379" i="1"/>
  <c r="F1379" i="1"/>
  <c r="E1379" i="1"/>
  <c r="H1378" i="1"/>
  <c r="F1378" i="1"/>
  <c r="E1378" i="1"/>
  <c r="H1377" i="1"/>
  <c r="F1377" i="1"/>
  <c r="E1377" i="1"/>
  <c r="H1376" i="1"/>
  <c r="F1376" i="1"/>
  <c r="E1376" i="1"/>
  <c r="H1375" i="1"/>
  <c r="F1375" i="1"/>
  <c r="E1375" i="1"/>
  <c r="H1374" i="1"/>
  <c r="F1374" i="1"/>
  <c r="E1374" i="1"/>
  <c r="H1373" i="1"/>
  <c r="F1373" i="1"/>
  <c r="E1373" i="1"/>
  <c r="H1372" i="1"/>
  <c r="F1372" i="1"/>
  <c r="E1372" i="1"/>
  <c r="H1371" i="1"/>
  <c r="F1371" i="1"/>
  <c r="E1371" i="1"/>
  <c r="H1370" i="1"/>
  <c r="F1370" i="1"/>
  <c r="E1370" i="1"/>
  <c r="H1369" i="1"/>
  <c r="F1369" i="1"/>
  <c r="E1369" i="1"/>
  <c r="H1368" i="1"/>
  <c r="F1368" i="1"/>
  <c r="E1368" i="1"/>
  <c r="H1367" i="1"/>
  <c r="F1367" i="1"/>
  <c r="E1367" i="1"/>
  <c r="H1366" i="1"/>
  <c r="F1366" i="1"/>
  <c r="E1366" i="1"/>
  <c r="H1365" i="1"/>
  <c r="F1365" i="1"/>
  <c r="E1365" i="1"/>
  <c r="H1364" i="1"/>
  <c r="F1364" i="1"/>
  <c r="E1364" i="1"/>
  <c r="H1363" i="1"/>
  <c r="F1363" i="1"/>
  <c r="E1363" i="1"/>
  <c r="H1362" i="1"/>
  <c r="F1362" i="1"/>
  <c r="E1362" i="1"/>
  <c r="H1361" i="1"/>
  <c r="F1361" i="1"/>
  <c r="E1361" i="1"/>
  <c r="H1360" i="1"/>
  <c r="F1360" i="1"/>
  <c r="E1360" i="1"/>
  <c r="H1359" i="1"/>
  <c r="F1359" i="1"/>
  <c r="E1359" i="1"/>
  <c r="H1358" i="1"/>
  <c r="F1358" i="1"/>
  <c r="E1358" i="1"/>
  <c r="H1357" i="1"/>
  <c r="F1357" i="1"/>
  <c r="E1357" i="1"/>
  <c r="H1356" i="1"/>
  <c r="F1356" i="1"/>
  <c r="E1356" i="1"/>
  <c r="H1355" i="1"/>
  <c r="F1355" i="1"/>
  <c r="E1355" i="1"/>
  <c r="H1354" i="1"/>
  <c r="F1354" i="1"/>
  <c r="E1354" i="1"/>
  <c r="H1353" i="1"/>
  <c r="F1353" i="1"/>
  <c r="E1353" i="1"/>
  <c r="H1352" i="1"/>
  <c r="F1352" i="1"/>
  <c r="E1352" i="1"/>
  <c r="H1351" i="1"/>
  <c r="F1351" i="1"/>
  <c r="E1351" i="1"/>
  <c r="H1350" i="1"/>
  <c r="F1350" i="1"/>
  <c r="E1350" i="1"/>
  <c r="H1349" i="1"/>
  <c r="F1349" i="1"/>
  <c r="E1349" i="1"/>
  <c r="H1348" i="1"/>
  <c r="F1348" i="1"/>
  <c r="E1348" i="1"/>
  <c r="H1347" i="1"/>
  <c r="F1347" i="1"/>
  <c r="E1347" i="1"/>
  <c r="H1346" i="1"/>
  <c r="F1346" i="1"/>
  <c r="E1346" i="1"/>
  <c r="H1345" i="1"/>
  <c r="F1345" i="1"/>
  <c r="E1345" i="1"/>
  <c r="H1344" i="1"/>
  <c r="F1344" i="1"/>
  <c r="E1344" i="1"/>
  <c r="H1343" i="1"/>
  <c r="F1343" i="1"/>
  <c r="E1343" i="1"/>
  <c r="H1342" i="1"/>
  <c r="F1342" i="1"/>
  <c r="E1342" i="1"/>
  <c r="H1341" i="1"/>
  <c r="F1341" i="1"/>
  <c r="E1341" i="1"/>
  <c r="H1340" i="1"/>
  <c r="F1340" i="1"/>
  <c r="E1340" i="1"/>
  <c r="H1339" i="1"/>
  <c r="F1339" i="1"/>
  <c r="E1339" i="1"/>
  <c r="H1338" i="1"/>
  <c r="F1338" i="1"/>
  <c r="E1338" i="1"/>
  <c r="H1337" i="1"/>
  <c r="F1337" i="1"/>
  <c r="E1337" i="1"/>
  <c r="H1336" i="1"/>
  <c r="F1336" i="1"/>
  <c r="E1336" i="1"/>
  <c r="H1335" i="1"/>
  <c r="F1335" i="1"/>
  <c r="E1335" i="1"/>
  <c r="H1334" i="1"/>
  <c r="F1334" i="1"/>
  <c r="E1334" i="1"/>
  <c r="H1333" i="1"/>
  <c r="F1333" i="1"/>
  <c r="E1333" i="1"/>
  <c r="H1332" i="1"/>
  <c r="F1332" i="1"/>
  <c r="E1332" i="1"/>
  <c r="H1331" i="1"/>
  <c r="F1331" i="1"/>
  <c r="E1331" i="1"/>
  <c r="H1330" i="1"/>
  <c r="F1330" i="1"/>
  <c r="E1330" i="1"/>
  <c r="H1329" i="1"/>
  <c r="F1329" i="1"/>
  <c r="E1329" i="1"/>
  <c r="H1328" i="1"/>
  <c r="F1328" i="1"/>
  <c r="E1328" i="1"/>
  <c r="H1327" i="1"/>
  <c r="F1327" i="1"/>
  <c r="E1327" i="1"/>
  <c r="H1326" i="1"/>
  <c r="F1326" i="1"/>
  <c r="E1326" i="1"/>
  <c r="H1325" i="1"/>
  <c r="F1325" i="1"/>
  <c r="E1325" i="1"/>
  <c r="H1324" i="1"/>
  <c r="F1324" i="1"/>
  <c r="E1324" i="1"/>
  <c r="H1323" i="1"/>
  <c r="F1323" i="1"/>
  <c r="E1323" i="1"/>
  <c r="H1322" i="1"/>
  <c r="F1322" i="1"/>
  <c r="E1322" i="1"/>
  <c r="H1321" i="1"/>
  <c r="F1321" i="1"/>
  <c r="E1321" i="1"/>
  <c r="H1320" i="1"/>
  <c r="F1320" i="1"/>
  <c r="E1320" i="1"/>
  <c r="H1319" i="1"/>
  <c r="F1319" i="1"/>
  <c r="E1319" i="1"/>
  <c r="H1318" i="1"/>
  <c r="F1318" i="1"/>
  <c r="E1318" i="1"/>
  <c r="H1317" i="1"/>
  <c r="F1317" i="1"/>
  <c r="E1317" i="1"/>
  <c r="H1316" i="1"/>
  <c r="F1316" i="1"/>
  <c r="E1316" i="1"/>
  <c r="H1315" i="1"/>
  <c r="F1315" i="1"/>
  <c r="E1315" i="1"/>
  <c r="H1314" i="1"/>
  <c r="F1314" i="1"/>
  <c r="E1314" i="1"/>
  <c r="H1313" i="1"/>
  <c r="F1313" i="1"/>
  <c r="E1313" i="1"/>
  <c r="H1312" i="1"/>
  <c r="F1312" i="1"/>
  <c r="E1312" i="1"/>
  <c r="H1311" i="1"/>
  <c r="F1311" i="1"/>
  <c r="E1311" i="1"/>
  <c r="H1310" i="1"/>
  <c r="F1310" i="1"/>
  <c r="E1310" i="1"/>
  <c r="H1309" i="1"/>
  <c r="F1309" i="1"/>
  <c r="E1309" i="1"/>
  <c r="H1308" i="1"/>
  <c r="F1308" i="1"/>
  <c r="E1308" i="1"/>
  <c r="H1307" i="1"/>
  <c r="F1307" i="1"/>
  <c r="E1307" i="1"/>
  <c r="H1306" i="1"/>
  <c r="F1306" i="1"/>
  <c r="E1306" i="1"/>
  <c r="H1305" i="1"/>
  <c r="F1305" i="1"/>
  <c r="E1305" i="1"/>
  <c r="H1304" i="1"/>
  <c r="F1304" i="1"/>
  <c r="E1304" i="1"/>
  <c r="H1303" i="1"/>
  <c r="F1303" i="1"/>
  <c r="E1303" i="1"/>
  <c r="H1302" i="1"/>
  <c r="F1302" i="1"/>
  <c r="E1302" i="1"/>
  <c r="H1301" i="1"/>
  <c r="F1301" i="1"/>
  <c r="E1301" i="1"/>
  <c r="H1300" i="1"/>
  <c r="F1300" i="1"/>
  <c r="E1300" i="1"/>
  <c r="H1299" i="1"/>
  <c r="F1299" i="1"/>
  <c r="E1299" i="1"/>
  <c r="H1298" i="1"/>
  <c r="F1298" i="1"/>
  <c r="E1298" i="1"/>
  <c r="H1297" i="1"/>
  <c r="F1297" i="1"/>
  <c r="E1297" i="1"/>
  <c r="H1296" i="1"/>
  <c r="F1296" i="1"/>
  <c r="E1296" i="1"/>
  <c r="H1295" i="1"/>
  <c r="F1295" i="1"/>
  <c r="E1295" i="1"/>
  <c r="H1294" i="1"/>
  <c r="F1294" i="1"/>
  <c r="E1294" i="1"/>
  <c r="H1293" i="1"/>
  <c r="F1293" i="1"/>
  <c r="E1293" i="1"/>
  <c r="H1292" i="1"/>
  <c r="F1292" i="1"/>
  <c r="E1292" i="1"/>
  <c r="H1291" i="1"/>
  <c r="F1291" i="1"/>
  <c r="E1291" i="1"/>
  <c r="H1290" i="1"/>
  <c r="F1290" i="1"/>
  <c r="E1290" i="1"/>
  <c r="H1289" i="1"/>
  <c r="F1289" i="1"/>
  <c r="E1289" i="1"/>
  <c r="H1288" i="1"/>
  <c r="F1288" i="1"/>
  <c r="E1288" i="1"/>
  <c r="H1287" i="1"/>
  <c r="F1287" i="1"/>
  <c r="E1287" i="1"/>
  <c r="H1286" i="1"/>
  <c r="F1286" i="1"/>
  <c r="E1286" i="1"/>
  <c r="H1285" i="1"/>
  <c r="F1285" i="1"/>
  <c r="E1285" i="1"/>
  <c r="H1284" i="1"/>
  <c r="F1284" i="1"/>
  <c r="E1284" i="1"/>
  <c r="H1283" i="1"/>
  <c r="F1283" i="1"/>
  <c r="E1283" i="1"/>
  <c r="H1282" i="1"/>
  <c r="F1282" i="1"/>
  <c r="E1282" i="1"/>
  <c r="H1281" i="1"/>
  <c r="F1281" i="1"/>
  <c r="E1281" i="1"/>
  <c r="H1280" i="1"/>
  <c r="F1280" i="1"/>
  <c r="E1280" i="1"/>
  <c r="H1279" i="1"/>
  <c r="F1279" i="1"/>
  <c r="E1279" i="1"/>
  <c r="H1278" i="1"/>
  <c r="F1278" i="1"/>
  <c r="E1278" i="1"/>
  <c r="H1277" i="1"/>
  <c r="F1277" i="1"/>
  <c r="E1277" i="1"/>
  <c r="H1276" i="1"/>
  <c r="F1276" i="1"/>
  <c r="E1276" i="1"/>
  <c r="H1275" i="1"/>
  <c r="F1275" i="1"/>
  <c r="E1275" i="1"/>
  <c r="H1274" i="1"/>
  <c r="F1274" i="1"/>
  <c r="E1274" i="1"/>
  <c r="H1273" i="1"/>
  <c r="F1273" i="1"/>
  <c r="E1273" i="1"/>
  <c r="H1272" i="1"/>
  <c r="F1272" i="1"/>
  <c r="E1272" i="1"/>
  <c r="H1271" i="1"/>
  <c r="F1271" i="1"/>
  <c r="E1271" i="1"/>
  <c r="H1270" i="1"/>
  <c r="F1270" i="1"/>
  <c r="E1270" i="1"/>
  <c r="H1269" i="1"/>
  <c r="F1269" i="1"/>
  <c r="E1269" i="1"/>
  <c r="H1268" i="1"/>
  <c r="F1268" i="1"/>
  <c r="E1268" i="1"/>
  <c r="H1267" i="1"/>
  <c r="F1267" i="1"/>
  <c r="E1267" i="1"/>
  <c r="H1266" i="1"/>
  <c r="F1266" i="1"/>
  <c r="E1266" i="1"/>
  <c r="H1265" i="1"/>
  <c r="F1265" i="1"/>
  <c r="E1265" i="1"/>
  <c r="H1264" i="1"/>
  <c r="F1264" i="1"/>
  <c r="E1264" i="1"/>
  <c r="H1263" i="1"/>
  <c r="F1263" i="1"/>
  <c r="E1263" i="1"/>
  <c r="H1262" i="1"/>
  <c r="F1262" i="1"/>
  <c r="E1262" i="1"/>
  <c r="H1261" i="1"/>
  <c r="F1261" i="1"/>
  <c r="E1261" i="1"/>
  <c r="H1260" i="1"/>
  <c r="F1260" i="1"/>
  <c r="E1260" i="1"/>
  <c r="H1259" i="1"/>
  <c r="F1259" i="1"/>
  <c r="E1259" i="1"/>
  <c r="H1258" i="1"/>
  <c r="F1258" i="1"/>
  <c r="E1258" i="1"/>
  <c r="H1257" i="1"/>
  <c r="F1257" i="1"/>
  <c r="E1257" i="1"/>
  <c r="H1256" i="1"/>
  <c r="F1256" i="1"/>
  <c r="E1256" i="1"/>
  <c r="H1255" i="1"/>
  <c r="F1255" i="1"/>
  <c r="E1255" i="1"/>
  <c r="H1254" i="1"/>
  <c r="F1254" i="1"/>
  <c r="E1254" i="1"/>
  <c r="H1253" i="1"/>
  <c r="F1253" i="1"/>
  <c r="E1253" i="1"/>
  <c r="H1252" i="1"/>
  <c r="F1252" i="1"/>
  <c r="E1252" i="1"/>
  <c r="H1251" i="1"/>
  <c r="F1251" i="1"/>
  <c r="E1251" i="1"/>
  <c r="H1250" i="1"/>
  <c r="F1250" i="1"/>
  <c r="E1250" i="1"/>
  <c r="H1249" i="1"/>
  <c r="F1249" i="1"/>
  <c r="H1248" i="1"/>
  <c r="F1248" i="1"/>
  <c r="E1248" i="1"/>
  <c r="H1247" i="1"/>
  <c r="F1247" i="1"/>
  <c r="E1247" i="1"/>
  <c r="H1246" i="1"/>
  <c r="F1246" i="1"/>
  <c r="E1246" i="1"/>
  <c r="H1245" i="1"/>
  <c r="F1245" i="1"/>
  <c r="E1245" i="1"/>
  <c r="H1244" i="1"/>
  <c r="F1244" i="1"/>
  <c r="E1244" i="1"/>
  <c r="H1243" i="1"/>
  <c r="F1243" i="1"/>
  <c r="E1243" i="1"/>
  <c r="H1242" i="1"/>
  <c r="F1242" i="1"/>
  <c r="E1242" i="1"/>
  <c r="H1241" i="1"/>
  <c r="F1241" i="1"/>
  <c r="E1241" i="1"/>
  <c r="H1240" i="1"/>
  <c r="F1240" i="1"/>
  <c r="E1240" i="1"/>
  <c r="H1239" i="1"/>
  <c r="F1239" i="1"/>
  <c r="E1239" i="1"/>
  <c r="H1238" i="1"/>
  <c r="F1238" i="1"/>
  <c r="E1238" i="1"/>
  <c r="H1237" i="1"/>
  <c r="F1237" i="1"/>
  <c r="E1237" i="1"/>
  <c r="H1236" i="1"/>
  <c r="F1236" i="1"/>
  <c r="E1236" i="1"/>
  <c r="H1235" i="1"/>
  <c r="F1235" i="1"/>
  <c r="E1235" i="1"/>
  <c r="H1234" i="1"/>
  <c r="F1234" i="1"/>
  <c r="E1234" i="1"/>
  <c r="H1233" i="1"/>
  <c r="F1233" i="1"/>
  <c r="E1233" i="1"/>
  <c r="H1232" i="1"/>
  <c r="F1232" i="1"/>
  <c r="E1232" i="1"/>
  <c r="H1231" i="1"/>
  <c r="F1231" i="1"/>
  <c r="E1231" i="1"/>
  <c r="H1230" i="1"/>
  <c r="F1230" i="1"/>
  <c r="E1230" i="1"/>
  <c r="H1229" i="1"/>
  <c r="F1229" i="1"/>
  <c r="E1229" i="1"/>
  <c r="H1228" i="1"/>
  <c r="F1228" i="1"/>
  <c r="E1228" i="1"/>
  <c r="H1227" i="1"/>
  <c r="F1227" i="1"/>
  <c r="E1227" i="1"/>
  <c r="H1226" i="1"/>
  <c r="F1226" i="1"/>
  <c r="E1226" i="1"/>
  <c r="H1225" i="1"/>
  <c r="F1225" i="1"/>
  <c r="E1225" i="1"/>
  <c r="H1224" i="1"/>
  <c r="F1224" i="1"/>
  <c r="E1224" i="1"/>
  <c r="H1223" i="1"/>
  <c r="F1223" i="1"/>
  <c r="E1223" i="1"/>
  <c r="H1222" i="1"/>
  <c r="F1222" i="1"/>
  <c r="E1222" i="1"/>
  <c r="H1221" i="1"/>
  <c r="F1221" i="1"/>
  <c r="E1221" i="1"/>
  <c r="H1220" i="1"/>
  <c r="F1220" i="1"/>
  <c r="E1220" i="1"/>
  <c r="H1219" i="1"/>
  <c r="F1219" i="1"/>
  <c r="E1219" i="1"/>
  <c r="H1218" i="1"/>
  <c r="F1218" i="1"/>
  <c r="E1218" i="1"/>
  <c r="H1217" i="1"/>
  <c r="F1217" i="1"/>
  <c r="E1217" i="1"/>
  <c r="H1216" i="1"/>
  <c r="F1216" i="1"/>
  <c r="E1216" i="1"/>
  <c r="H1215" i="1"/>
  <c r="F1215" i="1"/>
  <c r="E1215" i="1"/>
  <c r="H1214" i="1"/>
  <c r="F1214" i="1"/>
  <c r="E1214" i="1"/>
  <c r="H1213" i="1"/>
  <c r="F1213" i="1"/>
  <c r="E1213" i="1"/>
  <c r="H1212" i="1"/>
  <c r="F1212" i="1"/>
  <c r="E1212" i="1"/>
  <c r="H1211" i="1"/>
  <c r="F1211" i="1"/>
  <c r="E1211" i="1"/>
  <c r="H1210" i="1"/>
  <c r="F1210" i="1"/>
  <c r="E1210" i="1"/>
  <c r="H1209" i="1"/>
  <c r="F1209" i="1"/>
  <c r="E1209" i="1"/>
  <c r="H1208" i="1"/>
  <c r="F1208" i="1"/>
  <c r="E1208" i="1"/>
  <c r="H1207" i="1"/>
  <c r="F1207" i="1"/>
  <c r="E1207" i="1"/>
  <c r="H1206" i="1"/>
  <c r="F1206" i="1"/>
  <c r="E1206" i="1"/>
  <c r="H1205" i="1"/>
  <c r="F1205" i="1"/>
  <c r="E1205" i="1"/>
  <c r="H1204" i="1"/>
  <c r="F1204" i="1"/>
  <c r="E1204" i="1"/>
  <c r="H1203" i="1"/>
  <c r="F1203" i="1"/>
  <c r="E1203" i="1"/>
  <c r="H1202" i="1"/>
  <c r="F1202" i="1"/>
  <c r="E1202" i="1"/>
  <c r="H1201" i="1"/>
  <c r="F1201" i="1"/>
  <c r="E1201" i="1"/>
  <c r="H1200" i="1"/>
  <c r="F1200" i="1"/>
  <c r="E1200" i="1"/>
  <c r="H1199" i="1"/>
  <c r="F1199" i="1"/>
  <c r="E1199" i="1"/>
  <c r="H1198" i="1"/>
  <c r="F1198" i="1"/>
  <c r="E1198" i="1"/>
  <c r="H1197" i="1"/>
  <c r="F1197" i="1"/>
  <c r="E1197" i="1"/>
  <c r="H1196" i="1"/>
  <c r="F1196" i="1"/>
  <c r="E1196" i="1"/>
  <c r="H1195" i="1"/>
  <c r="F1195" i="1"/>
  <c r="E1195" i="1"/>
  <c r="H1194" i="1"/>
  <c r="F1194" i="1"/>
  <c r="E1194" i="1"/>
  <c r="H1193" i="1"/>
  <c r="F1193" i="1"/>
  <c r="E1193" i="1"/>
  <c r="H1192" i="1"/>
  <c r="F1192" i="1"/>
  <c r="E1192" i="1"/>
  <c r="H1191" i="1"/>
  <c r="F1191" i="1"/>
  <c r="E1191" i="1"/>
  <c r="H1190" i="1"/>
  <c r="F1190" i="1"/>
  <c r="E1190" i="1"/>
  <c r="H1189" i="1"/>
  <c r="F1189" i="1"/>
  <c r="E1189" i="1"/>
  <c r="H1188" i="1"/>
  <c r="F1188" i="1"/>
  <c r="E1188" i="1"/>
  <c r="H1187" i="1"/>
  <c r="F1187" i="1"/>
  <c r="E1187" i="1"/>
  <c r="H1186" i="1"/>
  <c r="F1186" i="1"/>
  <c r="E1186" i="1"/>
  <c r="H1185" i="1"/>
  <c r="F1185" i="1"/>
  <c r="E1185" i="1"/>
  <c r="H1184" i="1"/>
  <c r="F1184" i="1"/>
  <c r="E1184" i="1"/>
  <c r="H1183" i="1"/>
  <c r="F1183" i="1"/>
  <c r="E1183" i="1"/>
  <c r="H1182" i="1"/>
  <c r="F1182" i="1"/>
  <c r="E1182" i="1"/>
  <c r="H1181" i="1"/>
  <c r="F1181" i="1"/>
  <c r="E1181" i="1"/>
  <c r="H1180" i="1"/>
  <c r="F1180" i="1"/>
  <c r="E1180" i="1"/>
  <c r="H1179" i="1"/>
  <c r="F1179" i="1"/>
  <c r="E1179" i="1"/>
  <c r="H1178" i="1"/>
  <c r="F1178" i="1"/>
  <c r="E1178" i="1"/>
  <c r="H1177" i="1"/>
  <c r="F1177" i="1"/>
  <c r="E1177" i="1"/>
  <c r="H1176" i="1"/>
  <c r="F1176" i="1"/>
  <c r="E1176" i="1"/>
  <c r="H1175" i="1"/>
  <c r="F1175" i="1"/>
  <c r="E1175" i="1"/>
  <c r="H1174" i="1"/>
  <c r="F1174" i="1"/>
  <c r="E1174" i="1"/>
  <c r="H1173" i="1"/>
  <c r="F1173" i="1"/>
  <c r="E1173" i="1"/>
  <c r="H1172" i="1"/>
  <c r="F1172" i="1"/>
  <c r="E1172" i="1"/>
  <c r="H1171" i="1"/>
  <c r="F1171" i="1"/>
  <c r="E1171" i="1"/>
  <c r="H1170" i="1"/>
  <c r="F1170" i="1"/>
  <c r="E1170" i="1"/>
  <c r="H1169" i="1"/>
  <c r="F1169" i="1"/>
  <c r="E1169" i="1"/>
  <c r="H1168" i="1"/>
  <c r="F1168" i="1"/>
  <c r="E1168" i="1"/>
  <c r="H1167" i="1"/>
  <c r="F1167" i="1"/>
  <c r="E1167" i="1"/>
  <c r="H1166" i="1"/>
  <c r="F1166" i="1"/>
  <c r="E1166" i="1"/>
  <c r="H1165" i="1"/>
  <c r="F1165" i="1"/>
  <c r="E1165" i="1"/>
  <c r="H1164" i="1"/>
  <c r="F1164" i="1"/>
  <c r="E1164" i="1"/>
  <c r="H1163" i="1"/>
  <c r="F1163" i="1"/>
  <c r="E1163" i="1"/>
  <c r="H1162" i="1"/>
  <c r="F1162" i="1"/>
  <c r="E1162" i="1"/>
  <c r="H1161" i="1"/>
  <c r="F1161" i="1"/>
  <c r="E1161" i="1"/>
  <c r="H1160" i="1"/>
  <c r="F1160" i="1"/>
  <c r="E1160" i="1"/>
  <c r="H1159" i="1"/>
  <c r="F1159" i="1"/>
  <c r="E1159" i="1"/>
  <c r="H1158" i="1"/>
  <c r="F1158" i="1"/>
  <c r="E1158" i="1"/>
  <c r="H1157" i="1"/>
  <c r="F1157" i="1"/>
  <c r="E1157" i="1"/>
  <c r="H1156" i="1"/>
  <c r="F1156" i="1"/>
  <c r="E1156" i="1"/>
  <c r="H1155" i="1"/>
  <c r="F1155" i="1"/>
  <c r="E1155" i="1"/>
  <c r="H1154" i="1"/>
  <c r="F1154" i="1"/>
  <c r="E1154" i="1"/>
  <c r="H1153" i="1"/>
  <c r="F1153" i="1"/>
  <c r="E1153" i="1"/>
  <c r="H1152" i="1"/>
  <c r="F1152" i="1"/>
  <c r="E1152" i="1"/>
  <c r="H1151" i="1"/>
  <c r="F1151" i="1"/>
  <c r="E1151" i="1"/>
  <c r="H1150" i="1"/>
  <c r="F1150" i="1"/>
  <c r="E1150" i="1"/>
  <c r="H1149" i="1"/>
  <c r="F1149" i="1"/>
  <c r="E1149" i="1"/>
  <c r="H1148" i="1"/>
  <c r="F1148" i="1"/>
  <c r="E1148" i="1"/>
  <c r="H1147" i="1"/>
  <c r="F1147" i="1"/>
  <c r="E1147" i="1"/>
  <c r="H1146" i="1"/>
  <c r="F1146" i="1"/>
  <c r="E1146" i="1"/>
  <c r="H1145" i="1"/>
  <c r="F1145" i="1"/>
  <c r="E1145" i="1"/>
  <c r="H1144" i="1"/>
  <c r="F1144" i="1"/>
  <c r="E1144" i="1"/>
  <c r="H1143" i="1"/>
  <c r="F1143" i="1"/>
  <c r="E1143" i="1"/>
  <c r="H1142" i="1"/>
  <c r="F1142" i="1"/>
  <c r="E1142" i="1"/>
  <c r="H1141" i="1"/>
  <c r="F1141" i="1"/>
  <c r="E1141" i="1"/>
  <c r="H1140" i="1"/>
  <c r="F1140" i="1"/>
  <c r="E1140" i="1"/>
  <c r="H1139" i="1"/>
  <c r="F1139" i="1"/>
  <c r="E1139" i="1"/>
  <c r="H1138" i="1"/>
  <c r="F1138" i="1"/>
  <c r="E1138" i="1"/>
  <c r="H1137" i="1"/>
  <c r="F1137" i="1"/>
  <c r="E1137" i="1"/>
  <c r="H1136" i="1"/>
  <c r="F1136" i="1"/>
  <c r="E1136" i="1"/>
  <c r="H1135" i="1"/>
  <c r="F1135" i="1"/>
  <c r="E1135" i="1"/>
  <c r="H1134" i="1"/>
  <c r="F1134" i="1"/>
  <c r="E1134" i="1"/>
  <c r="H1133" i="1"/>
  <c r="F1133" i="1"/>
  <c r="E1133" i="1"/>
  <c r="H1132" i="1"/>
  <c r="F1132" i="1"/>
  <c r="E1132" i="1"/>
  <c r="H1131" i="1"/>
  <c r="F1131" i="1"/>
  <c r="E1131" i="1"/>
  <c r="H1130" i="1"/>
  <c r="F1130" i="1"/>
  <c r="E1130" i="1"/>
  <c r="H1129" i="1"/>
  <c r="F1129" i="1"/>
  <c r="E1129" i="1"/>
  <c r="H1128" i="1"/>
  <c r="F1128" i="1"/>
  <c r="E1128" i="1"/>
  <c r="H1127" i="1"/>
  <c r="F1127" i="1"/>
  <c r="E1127" i="1"/>
  <c r="H1126" i="1"/>
  <c r="F1126" i="1"/>
  <c r="E1126" i="1"/>
  <c r="H1125" i="1"/>
  <c r="F1125" i="1"/>
  <c r="E1125" i="1"/>
  <c r="H1124" i="1"/>
  <c r="F1124" i="1"/>
  <c r="E1124" i="1"/>
  <c r="H1123" i="1"/>
  <c r="F1123" i="1"/>
  <c r="E1123" i="1"/>
  <c r="H1122" i="1"/>
  <c r="F1122" i="1"/>
  <c r="E1122" i="1"/>
  <c r="H1121" i="1"/>
  <c r="F1121" i="1"/>
  <c r="E1121" i="1"/>
  <c r="H1120" i="1"/>
  <c r="F1120" i="1"/>
  <c r="E1120" i="1"/>
  <c r="H1119" i="1"/>
  <c r="F1119" i="1"/>
  <c r="E1119" i="1"/>
  <c r="H1118" i="1"/>
  <c r="F1118" i="1"/>
  <c r="E1118" i="1"/>
  <c r="H1117" i="1"/>
  <c r="F1117" i="1"/>
  <c r="E1117" i="1"/>
  <c r="H1116" i="1"/>
  <c r="F1116" i="1"/>
  <c r="E1116" i="1"/>
  <c r="H1115" i="1"/>
  <c r="F1115" i="1"/>
  <c r="E1115" i="1"/>
  <c r="H1114" i="1"/>
  <c r="F1114" i="1"/>
  <c r="H1113" i="1"/>
  <c r="F1113" i="1"/>
  <c r="H1112" i="1"/>
  <c r="F1112" i="1"/>
  <c r="E1112" i="1"/>
  <c r="H1111" i="1"/>
  <c r="F1111" i="1"/>
  <c r="E1111" i="1"/>
  <c r="H1110" i="1"/>
  <c r="F1110" i="1"/>
  <c r="E1110" i="1"/>
  <c r="H1109" i="1"/>
  <c r="F1109" i="1"/>
  <c r="E1109" i="1"/>
  <c r="H1108" i="1"/>
  <c r="F1108" i="1"/>
  <c r="E1108" i="1"/>
  <c r="H1107" i="1"/>
  <c r="F1107" i="1"/>
  <c r="E1107" i="1"/>
  <c r="H1106" i="1"/>
  <c r="F1106" i="1"/>
  <c r="E1106" i="1"/>
  <c r="H1105" i="1"/>
  <c r="F1105" i="1"/>
  <c r="E1105" i="1"/>
  <c r="H1104" i="1"/>
  <c r="F1104" i="1"/>
  <c r="E1104" i="1"/>
  <c r="H1103" i="1"/>
  <c r="F1103" i="1"/>
  <c r="E1103" i="1"/>
  <c r="H1102" i="1"/>
  <c r="F1102" i="1"/>
  <c r="E1102" i="1"/>
  <c r="H1101" i="1"/>
  <c r="F1101" i="1"/>
  <c r="E1101" i="1"/>
  <c r="H1100" i="1"/>
  <c r="F1100" i="1"/>
  <c r="E1100" i="1"/>
  <c r="H1099" i="1"/>
  <c r="F1099" i="1"/>
  <c r="E1099" i="1"/>
  <c r="H1098" i="1"/>
  <c r="F1098" i="1"/>
  <c r="E1098" i="1"/>
  <c r="H1097" i="1"/>
  <c r="F1097" i="1"/>
  <c r="E1097" i="1"/>
  <c r="H1096" i="1"/>
  <c r="F1096" i="1"/>
  <c r="E1096" i="1"/>
  <c r="H1095" i="1"/>
  <c r="F1095" i="1"/>
  <c r="E1095" i="1"/>
  <c r="H1094" i="1"/>
  <c r="F1094" i="1"/>
  <c r="E1094" i="1"/>
  <c r="H1093" i="1"/>
  <c r="F1093" i="1"/>
  <c r="E1093" i="1"/>
  <c r="H1092" i="1"/>
  <c r="F1092" i="1"/>
  <c r="E1092" i="1"/>
  <c r="H1091" i="1"/>
  <c r="F1091" i="1"/>
  <c r="E1091" i="1"/>
  <c r="H1090" i="1"/>
  <c r="F1090" i="1"/>
  <c r="E1090" i="1"/>
  <c r="H1089" i="1"/>
  <c r="F1089" i="1"/>
  <c r="E1089" i="1"/>
  <c r="H1088" i="1"/>
  <c r="F1088" i="1"/>
  <c r="E1088" i="1"/>
  <c r="H1087" i="1"/>
  <c r="F1087" i="1"/>
  <c r="E1087" i="1"/>
  <c r="H1086" i="1"/>
  <c r="F1086" i="1"/>
  <c r="E1086" i="1"/>
  <c r="H1085" i="1"/>
  <c r="F1085" i="1"/>
  <c r="E1085" i="1"/>
  <c r="H1084" i="1"/>
  <c r="F1084" i="1"/>
  <c r="E1084" i="1"/>
  <c r="H1083" i="1"/>
  <c r="F1083" i="1"/>
  <c r="E1083" i="1"/>
  <c r="H1082" i="1"/>
  <c r="F1082" i="1"/>
  <c r="E1082" i="1"/>
  <c r="H1081" i="1"/>
  <c r="F1081" i="1"/>
  <c r="E1081" i="1"/>
  <c r="H1080" i="1"/>
  <c r="F1080" i="1"/>
  <c r="E1080" i="1"/>
  <c r="H1079" i="1"/>
  <c r="F1079" i="1"/>
  <c r="E1079" i="1"/>
  <c r="H1078" i="1"/>
  <c r="F1078" i="1"/>
  <c r="E1078" i="1"/>
  <c r="H1077" i="1"/>
  <c r="F1077" i="1"/>
  <c r="E1077" i="1"/>
  <c r="H1076" i="1"/>
  <c r="F1076" i="1"/>
  <c r="E1076" i="1"/>
  <c r="H1075" i="1"/>
  <c r="F1075" i="1"/>
  <c r="E1075" i="1"/>
  <c r="H1074" i="1"/>
  <c r="F1074" i="1"/>
  <c r="E1074" i="1"/>
  <c r="H1073" i="1"/>
  <c r="F1073" i="1"/>
  <c r="E1073" i="1"/>
  <c r="H1072" i="1"/>
  <c r="F1072" i="1"/>
  <c r="E1072" i="1"/>
  <c r="H1071" i="1"/>
  <c r="F1071" i="1"/>
  <c r="E1071" i="1"/>
  <c r="H1070" i="1"/>
  <c r="F1070" i="1"/>
  <c r="E1070" i="1"/>
  <c r="H1069" i="1"/>
  <c r="F1069" i="1"/>
  <c r="E1069" i="1"/>
  <c r="H1068" i="1"/>
  <c r="F1068" i="1"/>
  <c r="E1068" i="1"/>
  <c r="H1067" i="1"/>
  <c r="F1067" i="1"/>
  <c r="E1067" i="1"/>
  <c r="H1066" i="1"/>
  <c r="F1066" i="1"/>
  <c r="E1066" i="1"/>
  <c r="H1065" i="1"/>
  <c r="F1065" i="1"/>
  <c r="E1065" i="1"/>
  <c r="H1064" i="1"/>
  <c r="F1064" i="1"/>
  <c r="E1064" i="1"/>
  <c r="H1063" i="1"/>
  <c r="F1063" i="1"/>
  <c r="E1063" i="1"/>
  <c r="H1062" i="1"/>
  <c r="F1062" i="1"/>
  <c r="E1062" i="1"/>
  <c r="H1061" i="1"/>
  <c r="F1061" i="1"/>
  <c r="E1061" i="1"/>
  <c r="H1060" i="1"/>
  <c r="F1060" i="1"/>
  <c r="E1060" i="1"/>
  <c r="H1059" i="1"/>
  <c r="F1059" i="1"/>
  <c r="E1059" i="1"/>
  <c r="H1058" i="1"/>
  <c r="F1058" i="1"/>
  <c r="E1058" i="1"/>
  <c r="H1057" i="1"/>
  <c r="F1057" i="1"/>
  <c r="E1057" i="1"/>
  <c r="H1056" i="1"/>
  <c r="F1056" i="1"/>
  <c r="E1056" i="1"/>
  <c r="H1055" i="1"/>
  <c r="F1055" i="1"/>
  <c r="E1055" i="1"/>
  <c r="H1054" i="1"/>
  <c r="F1054" i="1"/>
  <c r="E1054" i="1"/>
  <c r="H1053" i="1"/>
  <c r="F1053" i="1"/>
  <c r="E1053" i="1"/>
  <c r="H1052" i="1"/>
  <c r="F1052" i="1"/>
  <c r="E1052" i="1"/>
  <c r="H1051" i="1"/>
  <c r="F1051" i="1"/>
  <c r="E1051" i="1"/>
  <c r="H1050" i="1"/>
  <c r="F1050" i="1"/>
  <c r="E1050" i="1"/>
  <c r="H1049" i="1"/>
  <c r="F1049" i="1"/>
  <c r="E1049" i="1"/>
  <c r="H1048" i="1"/>
  <c r="F1048" i="1"/>
  <c r="E1048" i="1"/>
  <c r="H1047" i="1"/>
  <c r="F1047" i="1"/>
  <c r="E1047" i="1"/>
  <c r="H1046" i="1"/>
  <c r="F1046" i="1"/>
  <c r="E1046" i="1"/>
  <c r="H1045" i="1"/>
  <c r="F1045" i="1"/>
  <c r="E1045" i="1"/>
  <c r="H1044" i="1"/>
  <c r="F1044" i="1"/>
  <c r="E1044" i="1"/>
  <c r="H1043" i="1"/>
  <c r="F1043" i="1"/>
  <c r="E1043" i="1"/>
  <c r="H1042" i="1"/>
  <c r="F1042" i="1"/>
  <c r="E1042" i="1"/>
  <c r="H1041" i="1"/>
  <c r="F1041" i="1"/>
  <c r="E1041" i="1"/>
  <c r="H1040" i="1"/>
  <c r="F1040" i="1"/>
  <c r="E1040" i="1"/>
  <c r="H1039" i="1"/>
  <c r="F1039" i="1"/>
  <c r="E1039" i="1"/>
  <c r="H1038" i="1"/>
  <c r="F1038" i="1"/>
  <c r="E1038" i="1"/>
  <c r="H1037" i="1"/>
  <c r="F1037" i="1"/>
  <c r="E1037" i="1"/>
  <c r="H1036" i="1"/>
  <c r="F1036" i="1"/>
  <c r="E1036" i="1"/>
  <c r="H1035" i="1"/>
  <c r="F1035" i="1"/>
  <c r="E1035" i="1"/>
  <c r="H1034" i="1"/>
  <c r="F1034" i="1"/>
  <c r="E1034" i="1"/>
  <c r="H1033" i="1"/>
  <c r="F1033" i="1"/>
  <c r="E1033" i="1"/>
  <c r="H1032" i="1"/>
  <c r="F1032" i="1"/>
  <c r="E1032" i="1"/>
  <c r="H1031" i="1"/>
  <c r="F1031" i="1"/>
  <c r="E1031" i="1"/>
  <c r="H1030" i="1"/>
  <c r="F1030" i="1"/>
  <c r="E1030" i="1"/>
  <c r="H1029" i="1"/>
  <c r="F1029" i="1"/>
  <c r="E1029" i="1"/>
  <c r="H1028" i="1"/>
  <c r="F1028" i="1"/>
  <c r="E1028" i="1"/>
  <c r="H1027" i="1"/>
  <c r="F1027" i="1"/>
  <c r="E1027" i="1"/>
  <c r="H1026" i="1"/>
  <c r="F1026" i="1"/>
  <c r="E1026" i="1"/>
  <c r="H1025" i="1"/>
  <c r="F1025" i="1"/>
  <c r="E1025" i="1"/>
  <c r="H1024" i="1"/>
  <c r="F1024" i="1"/>
  <c r="E1024" i="1"/>
  <c r="H1023" i="1"/>
  <c r="F1023" i="1"/>
  <c r="E1023" i="1"/>
  <c r="H1022" i="1"/>
  <c r="F1022" i="1"/>
  <c r="E1022" i="1"/>
  <c r="H1021" i="1"/>
  <c r="F1021" i="1"/>
  <c r="E1021" i="1"/>
  <c r="H1020" i="1"/>
  <c r="F1020" i="1"/>
  <c r="E1020" i="1"/>
  <c r="H1019" i="1"/>
  <c r="F1019" i="1"/>
  <c r="E1019" i="1"/>
  <c r="H1018" i="1"/>
  <c r="F1018" i="1"/>
  <c r="E1018" i="1"/>
  <c r="H1017" i="1"/>
  <c r="F1017" i="1"/>
  <c r="E1017" i="1"/>
  <c r="H1016" i="1"/>
  <c r="F1016" i="1"/>
  <c r="E1016" i="1"/>
  <c r="H1015" i="1"/>
  <c r="F1015" i="1"/>
  <c r="E1015" i="1"/>
  <c r="H1014" i="1"/>
  <c r="F1014" i="1"/>
  <c r="E1014" i="1"/>
  <c r="H1013" i="1"/>
  <c r="F1013" i="1"/>
  <c r="E1013" i="1"/>
  <c r="H1012" i="1"/>
  <c r="F1012" i="1"/>
  <c r="E1012" i="1"/>
  <c r="H1011" i="1"/>
  <c r="F1011" i="1"/>
  <c r="E1011" i="1"/>
  <c r="H1010" i="1"/>
  <c r="F1010" i="1"/>
  <c r="E1010" i="1"/>
  <c r="H1009" i="1"/>
  <c r="F1009" i="1"/>
  <c r="E1009" i="1"/>
  <c r="H1008" i="1"/>
  <c r="F1008" i="1"/>
  <c r="E1008" i="1"/>
  <c r="H1007" i="1"/>
  <c r="F1007" i="1"/>
  <c r="E1007" i="1"/>
  <c r="H1006" i="1"/>
  <c r="F1006" i="1"/>
  <c r="E1006" i="1"/>
  <c r="H1005" i="1"/>
  <c r="F1005" i="1"/>
  <c r="E1005" i="1"/>
  <c r="H1004" i="1"/>
  <c r="F1004" i="1"/>
  <c r="E1004" i="1"/>
  <c r="H1003" i="1"/>
  <c r="F1003" i="1"/>
  <c r="E1003" i="1"/>
  <c r="H1002" i="1"/>
  <c r="F1002" i="1"/>
  <c r="E1002" i="1"/>
  <c r="H1001" i="1"/>
  <c r="F1001" i="1"/>
  <c r="E1001" i="1"/>
  <c r="H1000" i="1"/>
  <c r="F1000" i="1"/>
  <c r="E1000" i="1"/>
  <c r="H999" i="1"/>
  <c r="F999" i="1"/>
  <c r="E999" i="1"/>
  <c r="H998" i="1"/>
  <c r="F998" i="1"/>
  <c r="E998" i="1"/>
  <c r="H997" i="1"/>
  <c r="F997" i="1"/>
  <c r="E997" i="1"/>
  <c r="H996" i="1"/>
  <c r="F996" i="1"/>
  <c r="E996" i="1"/>
  <c r="H995" i="1"/>
  <c r="F995" i="1"/>
  <c r="E995" i="1"/>
  <c r="H994" i="1"/>
  <c r="F994" i="1"/>
  <c r="H993" i="1"/>
  <c r="F993" i="1"/>
  <c r="E993" i="1"/>
  <c r="H992" i="1"/>
  <c r="F992" i="1"/>
  <c r="E992" i="1"/>
  <c r="H991" i="1"/>
  <c r="F991" i="1"/>
  <c r="E991" i="1"/>
  <c r="H990" i="1"/>
  <c r="F990" i="1"/>
  <c r="E990" i="1"/>
  <c r="H989" i="1"/>
  <c r="F989" i="1"/>
  <c r="E989" i="1"/>
  <c r="H988" i="1"/>
  <c r="F988" i="1"/>
  <c r="E988" i="1"/>
  <c r="H987" i="1"/>
  <c r="F987" i="1"/>
  <c r="E987" i="1"/>
  <c r="H986" i="1"/>
  <c r="F986" i="1"/>
  <c r="E986" i="1"/>
  <c r="H985" i="1"/>
  <c r="F985" i="1"/>
  <c r="E985" i="1"/>
  <c r="H984" i="1"/>
  <c r="F984" i="1"/>
  <c r="E984" i="1"/>
  <c r="H983" i="1"/>
  <c r="F983" i="1"/>
  <c r="E983" i="1"/>
  <c r="F982" i="1"/>
  <c r="E982" i="1"/>
  <c r="F981" i="1"/>
  <c r="E981" i="1"/>
  <c r="H980" i="1"/>
  <c r="F980" i="1"/>
  <c r="E980" i="1"/>
  <c r="H979" i="1"/>
  <c r="F979" i="1"/>
  <c r="E979" i="1"/>
  <c r="H978" i="1"/>
  <c r="F978" i="1"/>
  <c r="E978" i="1"/>
  <c r="H977" i="1"/>
  <c r="F977" i="1"/>
  <c r="E977" i="1"/>
  <c r="H976" i="1"/>
  <c r="F976" i="1"/>
  <c r="E976" i="1"/>
  <c r="H975" i="1"/>
  <c r="F975" i="1"/>
  <c r="E975" i="1"/>
  <c r="H974" i="1"/>
  <c r="F974" i="1"/>
  <c r="E974" i="1"/>
  <c r="H973" i="1"/>
  <c r="F973" i="1"/>
  <c r="E973" i="1"/>
  <c r="H972" i="1"/>
  <c r="F972" i="1"/>
  <c r="E972" i="1"/>
  <c r="H971" i="1"/>
  <c r="F971" i="1"/>
  <c r="E971" i="1"/>
  <c r="H970" i="1"/>
  <c r="F970" i="1"/>
  <c r="E970" i="1"/>
  <c r="H969" i="1"/>
  <c r="F969" i="1"/>
  <c r="E969" i="1"/>
  <c r="H968" i="1"/>
  <c r="F968" i="1"/>
  <c r="E968" i="1"/>
  <c r="H967" i="1"/>
  <c r="F967" i="1"/>
  <c r="E967" i="1"/>
  <c r="H966" i="1"/>
  <c r="F966" i="1"/>
  <c r="E966" i="1"/>
  <c r="H965" i="1"/>
  <c r="F965" i="1"/>
  <c r="E965" i="1"/>
  <c r="H964" i="1"/>
  <c r="F964" i="1"/>
  <c r="E964" i="1"/>
  <c r="H963" i="1"/>
  <c r="F963" i="1"/>
  <c r="E963" i="1"/>
  <c r="H962" i="1"/>
  <c r="F962" i="1"/>
  <c r="E962" i="1"/>
  <c r="H961" i="1"/>
  <c r="F961" i="1"/>
  <c r="E961" i="1"/>
  <c r="H960" i="1"/>
  <c r="F960" i="1"/>
  <c r="E960" i="1"/>
  <c r="H959" i="1"/>
  <c r="F959" i="1"/>
  <c r="E959" i="1"/>
  <c r="H958" i="1"/>
  <c r="F958" i="1"/>
  <c r="E958" i="1"/>
  <c r="H957" i="1"/>
  <c r="F957" i="1"/>
  <c r="E957" i="1"/>
  <c r="H956" i="1"/>
  <c r="F956" i="1"/>
  <c r="E956" i="1"/>
  <c r="H955" i="1"/>
  <c r="F955" i="1"/>
  <c r="E955" i="1"/>
  <c r="H954" i="1"/>
  <c r="F954" i="1"/>
  <c r="E954" i="1"/>
  <c r="H953" i="1"/>
  <c r="F953" i="1"/>
  <c r="E953" i="1"/>
  <c r="H952" i="1"/>
  <c r="F952" i="1"/>
  <c r="E952" i="1"/>
  <c r="H951" i="1"/>
  <c r="F951" i="1"/>
  <c r="E951" i="1"/>
  <c r="H950" i="1"/>
  <c r="F950" i="1"/>
  <c r="E950" i="1"/>
  <c r="H949" i="1"/>
  <c r="F949" i="1"/>
  <c r="E949" i="1"/>
  <c r="H948" i="1"/>
  <c r="F948" i="1"/>
  <c r="E948" i="1"/>
  <c r="H947" i="1"/>
  <c r="F947" i="1"/>
  <c r="E947" i="1"/>
  <c r="H946" i="1"/>
  <c r="F946" i="1"/>
  <c r="E946" i="1"/>
  <c r="H945" i="1"/>
  <c r="F945" i="1"/>
  <c r="E945" i="1"/>
  <c r="H944" i="1"/>
  <c r="F944" i="1"/>
  <c r="E944" i="1"/>
  <c r="H943" i="1"/>
  <c r="F943" i="1"/>
  <c r="E943" i="1"/>
  <c r="H942" i="1"/>
  <c r="F942" i="1"/>
  <c r="E942" i="1"/>
  <c r="H941" i="1"/>
  <c r="F941" i="1"/>
  <c r="E941" i="1"/>
  <c r="H940" i="1"/>
  <c r="F940" i="1"/>
  <c r="E940" i="1"/>
  <c r="H939" i="1"/>
  <c r="F939" i="1"/>
  <c r="E939" i="1"/>
  <c r="H938" i="1"/>
  <c r="F938" i="1"/>
  <c r="E938" i="1"/>
  <c r="H937" i="1"/>
  <c r="F937" i="1"/>
  <c r="E937" i="1"/>
  <c r="H936" i="1"/>
  <c r="F936" i="1"/>
  <c r="E936" i="1"/>
  <c r="H935" i="1"/>
  <c r="F935" i="1"/>
  <c r="E935" i="1"/>
  <c r="H934" i="1"/>
  <c r="F934" i="1"/>
  <c r="E934" i="1"/>
  <c r="H933" i="1"/>
  <c r="F933" i="1"/>
  <c r="E933" i="1"/>
  <c r="H932" i="1"/>
  <c r="F932" i="1"/>
  <c r="E932" i="1"/>
  <c r="H931" i="1"/>
  <c r="F931" i="1"/>
  <c r="E931" i="1"/>
  <c r="H930" i="1"/>
  <c r="F930" i="1"/>
  <c r="E930" i="1"/>
  <c r="H929" i="1"/>
  <c r="F929" i="1"/>
  <c r="E929" i="1"/>
  <c r="H928" i="1"/>
  <c r="F928" i="1"/>
  <c r="E928" i="1"/>
  <c r="H927" i="1"/>
  <c r="F927" i="1"/>
  <c r="E927" i="1"/>
  <c r="H926" i="1"/>
  <c r="F926" i="1"/>
  <c r="E926" i="1"/>
  <c r="H925" i="1"/>
  <c r="F925" i="1"/>
  <c r="E925" i="1"/>
  <c r="H924" i="1"/>
  <c r="F924" i="1"/>
  <c r="E924" i="1"/>
  <c r="H923" i="1"/>
  <c r="F923" i="1"/>
  <c r="E923" i="1"/>
  <c r="H922" i="1"/>
  <c r="F922" i="1"/>
  <c r="E922" i="1"/>
  <c r="H921" i="1"/>
  <c r="F921" i="1"/>
  <c r="E921" i="1"/>
  <c r="H920" i="1"/>
  <c r="F920" i="1"/>
  <c r="H919" i="1"/>
  <c r="F919" i="1"/>
  <c r="E919" i="1"/>
  <c r="H918" i="1"/>
  <c r="F918" i="1"/>
  <c r="E918" i="1"/>
  <c r="H917" i="1"/>
  <c r="F917" i="1"/>
  <c r="E917" i="1"/>
  <c r="H916" i="1"/>
  <c r="F916" i="1"/>
  <c r="E916" i="1"/>
  <c r="H915" i="1"/>
  <c r="F915" i="1"/>
  <c r="E915" i="1"/>
  <c r="H914" i="1"/>
  <c r="F914" i="1"/>
  <c r="E914" i="1"/>
  <c r="H913" i="1"/>
  <c r="F913" i="1"/>
  <c r="E913" i="1"/>
  <c r="H912" i="1"/>
  <c r="F912" i="1"/>
  <c r="E912" i="1"/>
  <c r="H911" i="1"/>
  <c r="F911" i="1"/>
  <c r="E911" i="1"/>
  <c r="H910" i="1"/>
  <c r="F910" i="1"/>
  <c r="E910" i="1"/>
  <c r="H909" i="1"/>
  <c r="F909" i="1"/>
  <c r="E909" i="1"/>
  <c r="H908" i="1"/>
  <c r="F908" i="1"/>
  <c r="E908" i="1"/>
  <c r="H907" i="1"/>
  <c r="F907" i="1"/>
  <c r="E907" i="1"/>
  <c r="H906" i="1"/>
  <c r="F906" i="1"/>
  <c r="E906" i="1"/>
  <c r="H905" i="1"/>
  <c r="F905" i="1"/>
  <c r="E905" i="1"/>
  <c r="H904" i="1"/>
  <c r="F904" i="1"/>
  <c r="E904" i="1"/>
  <c r="H903" i="1"/>
  <c r="F903" i="1"/>
  <c r="E903" i="1"/>
  <c r="H902" i="1"/>
  <c r="F902" i="1"/>
  <c r="E902" i="1"/>
  <c r="H901" i="1"/>
  <c r="F901" i="1"/>
  <c r="E901" i="1"/>
  <c r="H900" i="1"/>
  <c r="F900" i="1"/>
  <c r="E900" i="1"/>
  <c r="H899" i="1"/>
  <c r="F899" i="1"/>
  <c r="E899" i="1"/>
  <c r="H898" i="1"/>
  <c r="F898" i="1"/>
  <c r="E898" i="1"/>
  <c r="H897" i="1"/>
  <c r="F897" i="1"/>
  <c r="E897" i="1"/>
  <c r="H896" i="1"/>
  <c r="F896" i="1"/>
  <c r="E896" i="1"/>
  <c r="H895" i="1"/>
  <c r="F895" i="1"/>
  <c r="E895" i="1"/>
  <c r="H894" i="1"/>
  <c r="F894" i="1"/>
  <c r="E894" i="1"/>
  <c r="H893" i="1"/>
  <c r="F893" i="1"/>
  <c r="E893" i="1"/>
  <c r="H892" i="1"/>
  <c r="F892" i="1"/>
  <c r="E892" i="1"/>
  <c r="H891" i="1"/>
  <c r="F891" i="1"/>
  <c r="E891" i="1"/>
  <c r="H890" i="1"/>
  <c r="F890" i="1"/>
  <c r="E890" i="1"/>
  <c r="H889" i="1"/>
  <c r="F889" i="1"/>
  <c r="E889" i="1"/>
  <c r="H888" i="1"/>
  <c r="F888" i="1"/>
  <c r="E888" i="1"/>
  <c r="H887" i="1"/>
  <c r="F887" i="1"/>
  <c r="E887" i="1"/>
  <c r="H886" i="1"/>
  <c r="F886" i="1"/>
  <c r="E886" i="1"/>
  <c r="H885" i="1"/>
  <c r="F885" i="1"/>
  <c r="E885" i="1"/>
  <c r="H884" i="1"/>
  <c r="F884" i="1"/>
  <c r="E884" i="1"/>
  <c r="H883" i="1"/>
  <c r="F883" i="1"/>
  <c r="E883" i="1"/>
  <c r="H882" i="1"/>
  <c r="F882" i="1"/>
  <c r="E882" i="1"/>
  <c r="H881" i="1"/>
  <c r="F881" i="1"/>
  <c r="E881" i="1"/>
  <c r="H880" i="1"/>
  <c r="F880" i="1"/>
  <c r="E880" i="1"/>
  <c r="H879" i="1"/>
  <c r="F879" i="1"/>
  <c r="E879" i="1"/>
  <c r="H878" i="1"/>
  <c r="F878" i="1"/>
  <c r="E878" i="1"/>
  <c r="H877" i="1"/>
  <c r="F877" i="1"/>
  <c r="E877" i="1"/>
  <c r="H876" i="1"/>
  <c r="F876" i="1"/>
  <c r="E876" i="1"/>
  <c r="H875" i="1"/>
  <c r="F875" i="1"/>
  <c r="E875" i="1"/>
  <c r="H874" i="1"/>
  <c r="F874" i="1"/>
  <c r="E874" i="1"/>
  <c r="H873" i="1"/>
  <c r="F873" i="1"/>
  <c r="E873" i="1"/>
  <c r="H872" i="1"/>
  <c r="F872" i="1"/>
  <c r="E872" i="1"/>
  <c r="H871" i="1"/>
  <c r="F871" i="1"/>
  <c r="E871" i="1"/>
  <c r="H870" i="1"/>
  <c r="F870" i="1"/>
  <c r="E870" i="1"/>
  <c r="H869" i="1"/>
  <c r="F869" i="1"/>
  <c r="E869" i="1"/>
  <c r="H868" i="1"/>
  <c r="F868" i="1"/>
  <c r="E868" i="1"/>
  <c r="H867" i="1"/>
  <c r="F867" i="1"/>
  <c r="E867" i="1"/>
  <c r="H866" i="1"/>
  <c r="F866" i="1"/>
  <c r="E866" i="1"/>
  <c r="H865" i="1"/>
  <c r="F865" i="1"/>
  <c r="E865" i="1"/>
  <c r="H864" i="1"/>
  <c r="F864" i="1"/>
  <c r="E864" i="1"/>
  <c r="H863" i="1"/>
  <c r="F863" i="1"/>
  <c r="E863" i="1"/>
  <c r="H862" i="1"/>
  <c r="F862" i="1"/>
  <c r="E862" i="1"/>
  <c r="H861" i="1"/>
  <c r="F861" i="1"/>
  <c r="E861" i="1"/>
  <c r="H860" i="1"/>
  <c r="F860" i="1"/>
  <c r="E860" i="1"/>
  <c r="H859" i="1"/>
  <c r="F859" i="1"/>
  <c r="E859" i="1"/>
  <c r="H858" i="1"/>
  <c r="F858" i="1"/>
  <c r="E858" i="1"/>
  <c r="H857" i="1"/>
  <c r="F857" i="1"/>
  <c r="E857" i="1"/>
  <c r="H856" i="1"/>
  <c r="F856" i="1"/>
  <c r="E856" i="1"/>
  <c r="H855" i="1"/>
  <c r="F855" i="1"/>
  <c r="E855" i="1"/>
  <c r="H854" i="1"/>
  <c r="F854" i="1"/>
  <c r="E854" i="1"/>
  <c r="H853" i="1"/>
  <c r="F853" i="1"/>
  <c r="E853" i="1"/>
  <c r="H852" i="1"/>
  <c r="F852" i="1"/>
  <c r="E852" i="1"/>
  <c r="H851" i="1"/>
  <c r="F851" i="1"/>
  <c r="E851" i="1"/>
  <c r="H850" i="1"/>
  <c r="F850" i="1"/>
  <c r="E850" i="1"/>
  <c r="H849" i="1"/>
  <c r="F849" i="1"/>
  <c r="E849" i="1"/>
  <c r="H848" i="1"/>
  <c r="F848" i="1"/>
  <c r="E848" i="1"/>
  <c r="H847" i="1"/>
  <c r="F847" i="1"/>
  <c r="E847" i="1"/>
  <c r="H846" i="1"/>
  <c r="F846" i="1"/>
  <c r="E846" i="1"/>
  <c r="H845" i="1"/>
  <c r="F845" i="1"/>
  <c r="E845" i="1"/>
  <c r="H844" i="1"/>
  <c r="F844" i="1"/>
  <c r="E844" i="1"/>
  <c r="H843" i="1"/>
  <c r="F843" i="1"/>
  <c r="E843" i="1"/>
  <c r="H842" i="1"/>
  <c r="F842" i="1"/>
  <c r="E842" i="1"/>
  <c r="H841" i="1"/>
  <c r="F841" i="1"/>
  <c r="E841" i="1"/>
  <c r="H840" i="1"/>
  <c r="F840" i="1"/>
  <c r="E840" i="1"/>
  <c r="H839" i="1"/>
  <c r="F839" i="1"/>
  <c r="E839" i="1"/>
  <c r="H838" i="1"/>
  <c r="F838" i="1"/>
  <c r="E838" i="1"/>
  <c r="H837" i="1"/>
  <c r="F837" i="1"/>
  <c r="E837" i="1"/>
  <c r="H836" i="1"/>
  <c r="F836" i="1"/>
  <c r="E836" i="1"/>
  <c r="H835" i="1"/>
  <c r="F835" i="1"/>
  <c r="E835" i="1"/>
  <c r="H834" i="1"/>
  <c r="F834" i="1"/>
  <c r="E834" i="1"/>
  <c r="H833" i="1"/>
  <c r="F833" i="1"/>
  <c r="E833" i="1"/>
  <c r="H832" i="1"/>
  <c r="F832" i="1"/>
  <c r="E832" i="1"/>
  <c r="H831" i="1"/>
  <c r="F831" i="1"/>
  <c r="H830" i="1"/>
  <c r="F830" i="1"/>
  <c r="H829" i="1"/>
  <c r="F829" i="1"/>
  <c r="E829" i="1"/>
  <c r="H828" i="1"/>
  <c r="F828" i="1"/>
  <c r="E828" i="1"/>
  <c r="H827" i="1"/>
  <c r="F827" i="1"/>
  <c r="E827" i="1"/>
  <c r="H826" i="1"/>
  <c r="F826" i="1"/>
  <c r="E826" i="1"/>
  <c r="H825" i="1"/>
  <c r="F825" i="1"/>
  <c r="E825" i="1"/>
  <c r="H824" i="1"/>
  <c r="F824" i="1"/>
  <c r="E824" i="1"/>
  <c r="H823" i="1"/>
  <c r="F823" i="1"/>
  <c r="E823" i="1"/>
  <c r="H822" i="1"/>
  <c r="F822" i="1"/>
  <c r="E822" i="1"/>
  <c r="H821" i="1"/>
  <c r="F821" i="1"/>
  <c r="E821" i="1"/>
  <c r="H820" i="1"/>
  <c r="F820" i="1"/>
  <c r="E820" i="1"/>
  <c r="H819" i="1"/>
  <c r="F819" i="1"/>
  <c r="E819" i="1"/>
  <c r="H818" i="1"/>
  <c r="F818" i="1"/>
  <c r="E818" i="1"/>
  <c r="H817" i="1"/>
  <c r="F817" i="1"/>
  <c r="E817" i="1"/>
  <c r="H816" i="1"/>
  <c r="F816" i="1"/>
  <c r="E816" i="1"/>
  <c r="H815" i="1"/>
  <c r="F815" i="1"/>
  <c r="E815" i="1"/>
  <c r="H814" i="1"/>
  <c r="F814" i="1"/>
  <c r="E814" i="1"/>
  <c r="H813" i="1"/>
  <c r="F813" i="1"/>
  <c r="E813" i="1"/>
  <c r="H812" i="1"/>
  <c r="F812" i="1"/>
  <c r="E812" i="1"/>
  <c r="H811" i="1"/>
  <c r="F811" i="1"/>
  <c r="E811" i="1"/>
  <c r="H810" i="1"/>
  <c r="F810" i="1"/>
  <c r="E810" i="1"/>
  <c r="H809" i="1"/>
  <c r="F809" i="1"/>
  <c r="E809" i="1"/>
  <c r="H808" i="1"/>
  <c r="F808" i="1"/>
  <c r="E808" i="1"/>
  <c r="H807" i="1"/>
  <c r="F807" i="1"/>
  <c r="E807" i="1"/>
  <c r="H806" i="1"/>
  <c r="F806" i="1"/>
  <c r="E806" i="1"/>
  <c r="H805" i="1"/>
  <c r="F805" i="1"/>
  <c r="E805" i="1"/>
  <c r="H804" i="1"/>
  <c r="F804" i="1"/>
  <c r="E804" i="1"/>
  <c r="H803" i="1"/>
  <c r="F803" i="1"/>
  <c r="E803" i="1"/>
  <c r="H802" i="1"/>
  <c r="F802" i="1"/>
  <c r="E802" i="1"/>
  <c r="H801" i="1"/>
  <c r="F801" i="1"/>
  <c r="E801" i="1"/>
  <c r="H800" i="1"/>
  <c r="F800" i="1"/>
  <c r="E800" i="1"/>
  <c r="H799" i="1"/>
  <c r="F799" i="1"/>
  <c r="E799" i="1"/>
  <c r="H798" i="1"/>
  <c r="F798" i="1"/>
  <c r="E798" i="1"/>
  <c r="H797" i="1"/>
  <c r="F797" i="1"/>
  <c r="E797" i="1"/>
  <c r="H796" i="1"/>
  <c r="F796" i="1"/>
  <c r="E796" i="1"/>
  <c r="H795" i="1"/>
  <c r="F795" i="1"/>
  <c r="E795" i="1"/>
  <c r="H794" i="1"/>
  <c r="F794" i="1"/>
  <c r="E794" i="1"/>
  <c r="H793" i="1"/>
  <c r="F793" i="1"/>
  <c r="E793" i="1"/>
  <c r="H792" i="1"/>
  <c r="F792" i="1"/>
  <c r="E792" i="1"/>
  <c r="H791" i="1"/>
  <c r="F791" i="1"/>
  <c r="E791" i="1"/>
  <c r="H790" i="1"/>
  <c r="F790" i="1"/>
  <c r="E790" i="1"/>
  <c r="H789" i="1"/>
  <c r="F789" i="1"/>
  <c r="E789" i="1"/>
  <c r="H788" i="1"/>
  <c r="F788" i="1"/>
  <c r="E788" i="1"/>
  <c r="H787" i="1"/>
  <c r="F787" i="1"/>
  <c r="E787" i="1"/>
  <c r="H786" i="1"/>
  <c r="F786" i="1"/>
  <c r="E786" i="1"/>
  <c r="H785" i="1"/>
  <c r="F785" i="1"/>
  <c r="E785" i="1"/>
  <c r="H784" i="1"/>
  <c r="F784" i="1"/>
  <c r="E784" i="1"/>
  <c r="H783" i="1"/>
  <c r="F783" i="1"/>
  <c r="E783" i="1"/>
  <c r="H782" i="1"/>
  <c r="F782" i="1"/>
  <c r="E782" i="1"/>
  <c r="H781" i="1"/>
  <c r="F781" i="1"/>
  <c r="E781" i="1"/>
  <c r="H780" i="1"/>
  <c r="F780" i="1"/>
  <c r="E780" i="1"/>
  <c r="H779" i="1"/>
  <c r="F779" i="1"/>
  <c r="E779" i="1"/>
  <c r="H778" i="1"/>
  <c r="F778" i="1"/>
  <c r="E778" i="1"/>
  <c r="H777" i="1"/>
  <c r="F777" i="1"/>
  <c r="E777" i="1"/>
  <c r="H776" i="1"/>
  <c r="F776" i="1"/>
  <c r="E776" i="1"/>
  <c r="H775" i="1"/>
  <c r="F775" i="1"/>
  <c r="E775" i="1"/>
  <c r="H774" i="1"/>
  <c r="F774" i="1"/>
  <c r="E774" i="1"/>
  <c r="H773" i="1"/>
  <c r="F773" i="1"/>
  <c r="E773" i="1"/>
  <c r="H772" i="1"/>
  <c r="F772" i="1"/>
  <c r="E772" i="1"/>
  <c r="H771" i="1"/>
  <c r="F771" i="1"/>
  <c r="E771" i="1"/>
  <c r="H770" i="1"/>
  <c r="F770" i="1"/>
  <c r="E770" i="1"/>
  <c r="H769" i="1"/>
  <c r="F769" i="1"/>
  <c r="E769" i="1"/>
  <c r="H768" i="1"/>
  <c r="F768" i="1"/>
  <c r="E768" i="1"/>
  <c r="H767" i="1"/>
  <c r="F767" i="1"/>
  <c r="E767" i="1"/>
  <c r="H766" i="1"/>
  <c r="F766" i="1"/>
  <c r="E766" i="1"/>
  <c r="H765" i="1"/>
  <c r="F765" i="1"/>
  <c r="E765" i="1"/>
  <c r="H764" i="1"/>
  <c r="F764" i="1"/>
  <c r="E764" i="1"/>
  <c r="H763" i="1"/>
  <c r="F763" i="1"/>
  <c r="E763" i="1"/>
  <c r="H762" i="1"/>
  <c r="F762" i="1"/>
  <c r="E762" i="1"/>
  <c r="H761" i="1"/>
  <c r="F761" i="1"/>
  <c r="E761" i="1"/>
  <c r="H760" i="1"/>
  <c r="F760" i="1"/>
  <c r="E760" i="1"/>
  <c r="H759" i="1"/>
  <c r="F759" i="1"/>
  <c r="E759" i="1"/>
  <c r="H758" i="1"/>
  <c r="F758" i="1"/>
  <c r="E758" i="1"/>
  <c r="H757" i="1"/>
  <c r="F757" i="1"/>
  <c r="E757" i="1"/>
  <c r="H756" i="1"/>
  <c r="F756" i="1"/>
  <c r="E756" i="1"/>
  <c r="H755" i="1"/>
  <c r="F755" i="1"/>
  <c r="E755" i="1"/>
  <c r="H754" i="1"/>
  <c r="F754" i="1"/>
  <c r="E754" i="1"/>
  <c r="H753" i="1"/>
  <c r="F753" i="1"/>
  <c r="E753" i="1"/>
  <c r="H752" i="1"/>
  <c r="F752" i="1"/>
  <c r="E752" i="1"/>
  <c r="H751" i="1"/>
  <c r="F751" i="1"/>
  <c r="E751" i="1"/>
  <c r="H750" i="1"/>
  <c r="F750" i="1"/>
  <c r="E750" i="1"/>
  <c r="H749" i="1"/>
  <c r="F749" i="1"/>
  <c r="E749" i="1"/>
  <c r="H748" i="1"/>
  <c r="F748" i="1"/>
  <c r="E748" i="1"/>
  <c r="H747" i="1"/>
  <c r="F747" i="1"/>
  <c r="E747" i="1"/>
  <c r="H746" i="1"/>
  <c r="F746" i="1"/>
  <c r="E746" i="1"/>
  <c r="H745" i="1"/>
  <c r="F745" i="1"/>
  <c r="E745" i="1"/>
  <c r="H744" i="1"/>
  <c r="F744" i="1"/>
  <c r="E744" i="1"/>
  <c r="H743" i="1"/>
  <c r="F743" i="1"/>
  <c r="E743" i="1"/>
  <c r="H742" i="1"/>
  <c r="F742" i="1"/>
  <c r="E742" i="1"/>
  <c r="H741" i="1"/>
  <c r="F741" i="1"/>
  <c r="E741" i="1"/>
  <c r="H740" i="1"/>
  <c r="F740" i="1"/>
  <c r="E740" i="1"/>
  <c r="H739" i="1"/>
  <c r="F739" i="1"/>
  <c r="E739" i="1"/>
  <c r="H738" i="1"/>
  <c r="F738" i="1"/>
  <c r="E738" i="1"/>
  <c r="H737" i="1"/>
  <c r="F737" i="1"/>
  <c r="E737" i="1"/>
  <c r="H736" i="1"/>
  <c r="F736" i="1"/>
  <c r="E736" i="1"/>
  <c r="H735" i="1"/>
  <c r="F735" i="1"/>
  <c r="E735" i="1"/>
  <c r="H734" i="1"/>
  <c r="F734" i="1"/>
  <c r="E734" i="1"/>
  <c r="H733" i="1"/>
  <c r="F733" i="1"/>
  <c r="E733" i="1"/>
  <c r="H732" i="1"/>
  <c r="F732" i="1"/>
  <c r="E732" i="1"/>
  <c r="H731" i="1"/>
  <c r="F731" i="1"/>
  <c r="E731" i="1"/>
  <c r="H730" i="1"/>
  <c r="F730" i="1"/>
  <c r="E730" i="1"/>
  <c r="H729" i="1"/>
  <c r="F729" i="1"/>
  <c r="E729" i="1"/>
  <c r="H728" i="1"/>
  <c r="F728" i="1"/>
  <c r="E728" i="1"/>
  <c r="H727" i="1"/>
  <c r="F727" i="1"/>
  <c r="E727" i="1"/>
  <c r="H726" i="1"/>
  <c r="F726" i="1"/>
  <c r="E726" i="1"/>
  <c r="H725" i="1"/>
  <c r="F725" i="1"/>
  <c r="E725" i="1"/>
  <c r="H724" i="1"/>
  <c r="F724" i="1"/>
  <c r="E724" i="1"/>
  <c r="H723" i="1"/>
  <c r="F723" i="1"/>
  <c r="E723" i="1"/>
  <c r="H722" i="1"/>
  <c r="F722" i="1"/>
  <c r="E722" i="1"/>
  <c r="H721" i="1"/>
  <c r="F721" i="1"/>
  <c r="E721" i="1"/>
  <c r="H720" i="1"/>
  <c r="F720" i="1"/>
  <c r="E720" i="1"/>
  <c r="H719" i="1"/>
  <c r="F719" i="1"/>
  <c r="E719" i="1"/>
  <c r="H718" i="1"/>
  <c r="F718" i="1"/>
  <c r="E718" i="1"/>
  <c r="H717" i="1"/>
  <c r="F717" i="1"/>
  <c r="E717" i="1"/>
  <c r="H716" i="1"/>
  <c r="F716" i="1"/>
  <c r="E716" i="1"/>
  <c r="H715" i="1"/>
  <c r="F715" i="1"/>
  <c r="E715" i="1"/>
  <c r="H714" i="1"/>
  <c r="F714" i="1"/>
  <c r="E714" i="1"/>
  <c r="H713" i="1"/>
  <c r="F713" i="1"/>
  <c r="E713" i="1"/>
  <c r="H712" i="1"/>
  <c r="F712" i="1"/>
  <c r="E712" i="1"/>
  <c r="H711" i="1"/>
  <c r="F711" i="1"/>
  <c r="E711" i="1"/>
  <c r="H710" i="1"/>
  <c r="F710" i="1"/>
  <c r="E710" i="1"/>
  <c r="H709" i="1"/>
  <c r="F709" i="1"/>
  <c r="E709" i="1"/>
  <c r="H708" i="1"/>
  <c r="F708" i="1"/>
  <c r="E708" i="1"/>
  <c r="H707" i="1"/>
  <c r="F707" i="1"/>
  <c r="E707" i="1"/>
  <c r="H706" i="1"/>
  <c r="F706" i="1"/>
  <c r="E706" i="1"/>
  <c r="H705" i="1"/>
  <c r="F705" i="1"/>
  <c r="E705" i="1"/>
  <c r="H704" i="1"/>
  <c r="F704" i="1"/>
  <c r="E704" i="1"/>
  <c r="H703" i="1"/>
  <c r="F703" i="1"/>
  <c r="E703" i="1"/>
  <c r="H702" i="1"/>
  <c r="F702" i="1"/>
  <c r="E702" i="1"/>
  <c r="H701" i="1"/>
  <c r="F701" i="1"/>
  <c r="E701" i="1"/>
  <c r="H700" i="1"/>
  <c r="F700" i="1"/>
  <c r="E700" i="1"/>
  <c r="H699" i="1"/>
  <c r="F699" i="1"/>
  <c r="E699" i="1"/>
  <c r="H698" i="1"/>
  <c r="F698" i="1"/>
  <c r="E698" i="1"/>
  <c r="H697" i="1"/>
  <c r="F697" i="1"/>
  <c r="E697" i="1"/>
  <c r="H696" i="1"/>
  <c r="F696" i="1"/>
  <c r="E696" i="1"/>
  <c r="H695" i="1"/>
  <c r="F695" i="1"/>
  <c r="E695" i="1"/>
  <c r="H694" i="1"/>
  <c r="F694" i="1"/>
  <c r="E694" i="1"/>
  <c r="H693" i="1"/>
  <c r="F693" i="1"/>
  <c r="E693" i="1"/>
  <c r="H692" i="1"/>
  <c r="F692" i="1"/>
  <c r="E692" i="1"/>
  <c r="H691" i="1"/>
  <c r="F691" i="1"/>
  <c r="E691" i="1"/>
  <c r="H690" i="1"/>
  <c r="F690" i="1"/>
  <c r="E690" i="1"/>
  <c r="H689" i="1"/>
  <c r="F689" i="1"/>
  <c r="E689" i="1"/>
  <c r="H688" i="1"/>
  <c r="F688" i="1"/>
  <c r="E688" i="1"/>
  <c r="H687" i="1"/>
  <c r="F687" i="1"/>
  <c r="E687" i="1"/>
  <c r="H686" i="1"/>
  <c r="F686" i="1"/>
  <c r="E686" i="1"/>
  <c r="H685" i="1"/>
  <c r="F685" i="1"/>
  <c r="E685" i="1"/>
  <c r="H684" i="1"/>
  <c r="F684" i="1"/>
  <c r="E684" i="1"/>
  <c r="H683" i="1"/>
  <c r="F683" i="1"/>
  <c r="E683" i="1"/>
  <c r="H682" i="1"/>
  <c r="F682" i="1"/>
  <c r="E682" i="1"/>
  <c r="H681" i="1"/>
  <c r="F681" i="1"/>
  <c r="E681" i="1"/>
  <c r="H680" i="1"/>
  <c r="F680" i="1"/>
  <c r="E680" i="1"/>
  <c r="H679" i="1"/>
  <c r="F679" i="1"/>
  <c r="E679" i="1"/>
  <c r="H678" i="1"/>
  <c r="F678" i="1"/>
  <c r="E678" i="1"/>
  <c r="H677" i="1"/>
  <c r="F677" i="1"/>
  <c r="E677" i="1"/>
  <c r="H676" i="1"/>
  <c r="F676" i="1"/>
  <c r="E676" i="1"/>
  <c r="H675" i="1"/>
  <c r="F675" i="1"/>
  <c r="E675" i="1"/>
  <c r="H674" i="1"/>
  <c r="F674" i="1"/>
  <c r="E674" i="1"/>
  <c r="H673" i="1"/>
  <c r="F673" i="1"/>
  <c r="E673" i="1"/>
  <c r="H672" i="1"/>
  <c r="F672" i="1"/>
  <c r="E672" i="1"/>
  <c r="H671" i="1"/>
  <c r="F671" i="1"/>
  <c r="E671" i="1"/>
  <c r="H670" i="1"/>
  <c r="F670" i="1"/>
  <c r="E670" i="1"/>
  <c r="H669" i="1"/>
  <c r="F669" i="1"/>
  <c r="E669" i="1"/>
  <c r="H668" i="1"/>
  <c r="F668" i="1"/>
  <c r="E668" i="1"/>
  <c r="H667" i="1"/>
  <c r="F667" i="1"/>
  <c r="E667" i="1"/>
  <c r="H666" i="1"/>
  <c r="F666" i="1"/>
  <c r="E666" i="1"/>
  <c r="H665" i="1"/>
  <c r="F665" i="1"/>
  <c r="E665" i="1"/>
  <c r="H664" i="1"/>
  <c r="F664" i="1"/>
  <c r="E664" i="1"/>
  <c r="H663" i="1"/>
  <c r="F663" i="1"/>
  <c r="E663" i="1"/>
  <c r="H662" i="1"/>
  <c r="F662" i="1"/>
  <c r="E662" i="1"/>
  <c r="H661" i="1"/>
  <c r="F661" i="1"/>
  <c r="E661" i="1"/>
  <c r="H660" i="1"/>
  <c r="F660" i="1"/>
  <c r="E660" i="1"/>
  <c r="H659" i="1"/>
  <c r="F659" i="1"/>
  <c r="E659" i="1"/>
  <c r="H658" i="1"/>
  <c r="F658" i="1"/>
  <c r="E658" i="1"/>
  <c r="H657" i="1"/>
  <c r="F657" i="1"/>
  <c r="E657" i="1"/>
  <c r="H656" i="1"/>
  <c r="F656" i="1"/>
  <c r="E656" i="1"/>
  <c r="H655" i="1"/>
  <c r="F655" i="1"/>
  <c r="E655" i="1"/>
  <c r="H654" i="1"/>
  <c r="F654" i="1"/>
  <c r="E654" i="1"/>
  <c r="H653" i="1"/>
  <c r="F653" i="1"/>
  <c r="E653" i="1"/>
  <c r="H652" i="1"/>
  <c r="F652" i="1"/>
  <c r="E652" i="1"/>
  <c r="H651" i="1"/>
  <c r="F651" i="1"/>
  <c r="E651" i="1"/>
  <c r="H650" i="1"/>
  <c r="F650" i="1"/>
  <c r="E650" i="1"/>
  <c r="H649" i="1"/>
  <c r="F649" i="1"/>
  <c r="E649" i="1"/>
  <c r="H648" i="1"/>
  <c r="F648" i="1"/>
  <c r="E648" i="1"/>
  <c r="H647" i="1"/>
  <c r="F647" i="1"/>
  <c r="E647" i="1"/>
  <c r="H646" i="1"/>
  <c r="F646" i="1"/>
  <c r="H645" i="1"/>
  <c r="F645" i="1"/>
  <c r="E645" i="1"/>
  <c r="H644" i="1"/>
  <c r="F644" i="1"/>
  <c r="E644" i="1"/>
  <c r="H643" i="1"/>
  <c r="F643" i="1"/>
  <c r="E643" i="1"/>
  <c r="H642" i="1"/>
  <c r="F642" i="1"/>
  <c r="E642" i="1"/>
  <c r="H641" i="1"/>
  <c r="F641" i="1"/>
  <c r="E641" i="1"/>
  <c r="H640" i="1"/>
  <c r="F640" i="1"/>
  <c r="E640" i="1"/>
  <c r="H639" i="1"/>
  <c r="F639" i="1"/>
  <c r="E639" i="1"/>
  <c r="H638" i="1"/>
  <c r="F638" i="1"/>
  <c r="E638" i="1"/>
  <c r="H637" i="1"/>
  <c r="F637" i="1"/>
  <c r="E637" i="1"/>
  <c r="H636" i="1"/>
  <c r="F636" i="1"/>
  <c r="E636" i="1"/>
  <c r="H635" i="1"/>
  <c r="F635" i="1"/>
  <c r="E635" i="1"/>
  <c r="H634" i="1"/>
  <c r="F634" i="1"/>
  <c r="E634" i="1"/>
  <c r="H633" i="1"/>
  <c r="F633" i="1"/>
  <c r="E633" i="1"/>
  <c r="H632" i="1"/>
  <c r="F632" i="1"/>
  <c r="E632" i="1"/>
  <c r="H631" i="1"/>
  <c r="F631" i="1"/>
  <c r="E631" i="1"/>
  <c r="H630" i="1"/>
  <c r="F630" i="1"/>
  <c r="H629" i="1"/>
  <c r="F629" i="1"/>
  <c r="E629" i="1"/>
  <c r="H628" i="1"/>
  <c r="F628" i="1"/>
  <c r="E628" i="1"/>
  <c r="H627" i="1"/>
  <c r="F627" i="1"/>
  <c r="E627" i="1"/>
  <c r="H626" i="1"/>
  <c r="F626" i="1"/>
  <c r="E626" i="1"/>
  <c r="H625" i="1"/>
  <c r="F625" i="1"/>
  <c r="E625" i="1"/>
  <c r="H624" i="1"/>
  <c r="F624" i="1"/>
  <c r="E624" i="1"/>
  <c r="H623" i="1"/>
  <c r="F623" i="1"/>
  <c r="E623" i="1"/>
  <c r="H622" i="1"/>
  <c r="F622" i="1"/>
  <c r="E622" i="1"/>
  <c r="H621" i="1"/>
  <c r="F621" i="1"/>
  <c r="E621" i="1"/>
  <c r="H620" i="1"/>
  <c r="F620" i="1"/>
  <c r="E620" i="1"/>
  <c r="H619" i="1"/>
  <c r="F619" i="1"/>
  <c r="E619" i="1"/>
  <c r="H618" i="1"/>
  <c r="F618" i="1"/>
  <c r="E618" i="1"/>
  <c r="H617" i="1"/>
  <c r="F617" i="1"/>
  <c r="E617" i="1"/>
  <c r="H616" i="1"/>
  <c r="F616" i="1"/>
  <c r="E616" i="1"/>
  <c r="H615" i="1"/>
  <c r="F615" i="1"/>
  <c r="E615" i="1"/>
  <c r="H614" i="1"/>
  <c r="F614" i="1"/>
  <c r="E614" i="1"/>
  <c r="H613" i="1"/>
  <c r="F613" i="1"/>
  <c r="E613" i="1"/>
  <c r="H612" i="1"/>
  <c r="F612" i="1"/>
  <c r="E612" i="1"/>
  <c r="H611" i="1"/>
  <c r="F611" i="1"/>
  <c r="E611" i="1"/>
  <c r="H610" i="1"/>
  <c r="F610" i="1"/>
  <c r="E610" i="1"/>
  <c r="H609" i="1"/>
  <c r="F609" i="1"/>
  <c r="E609" i="1"/>
  <c r="H608" i="1"/>
  <c r="F608" i="1"/>
  <c r="E608" i="1"/>
  <c r="H607" i="1"/>
  <c r="F607" i="1"/>
  <c r="E607" i="1"/>
  <c r="H606" i="1"/>
  <c r="F606" i="1"/>
  <c r="E606" i="1"/>
  <c r="H605" i="1"/>
  <c r="F605" i="1"/>
  <c r="E605" i="1"/>
  <c r="H604" i="1"/>
  <c r="F604" i="1"/>
  <c r="E604" i="1"/>
  <c r="H603" i="1"/>
  <c r="F603" i="1"/>
  <c r="E603" i="1"/>
  <c r="H602" i="1"/>
  <c r="F602" i="1"/>
  <c r="E602" i="1"/>
  <c r="H601" i="1"/>
  <c r="F601" i="1"/>
  <c r="E601" i="1"/>
  <c r="H600" i="1"/>
  <c r="F600" i="1"/>
  <c r="E600" i="1"/>
  <c r="H599" i="1"/>
  <c r="F599" i="1"/>
  <c r="E599" i="1"/>
  <c r="H598" i="1"/>
  <c r="F598" i="1"/>
  <c r="E598" i="1"/>
  <c r="H597" i="1"/>
  <c r="F597" i="1"/>
  <c r="E597" i="1"/>
  <c r="H596" i="1"/>
  <c r="F596" i="1"/>
  <c r="E596" i="1"/>
  <c r="H595" i="1"/>
  <c r="F595" i="1"/>
  <c r="E595" i="1"/>
  <c r="H594" i="1"/>
  <c r="F594" i="1"/>
  <c r="E594" i="1"/>
  <c r="H593" i="1"/>
  <c r="F593" i="1"/>
  <c r="E593" i="1"/>
  <c r="H592" i="1"/>
  <c r="F592" i="1"/>
  <c r="E592" i="1"/>
  <c r="H591" i="1"/>
  <c r="F591" i="1"/>
  <c r="E591" i="1"/>
  <c r="H590" i="1"/>
  <c r="F590" i="1"/>
  <c r="E590" i="1"/>
  <c r="H589" i="1"/>
  <c r="F589" i="1"/>
  <c r="E589" i="1"/>
  <c r="H588" i="1"/>
  <c r="F588" i="1"/>
  <c r="E588" i="1"/>
  <c r="H587" i="1"/>
  <c r="F587" i="1"/>
  <c r="E587" i="1"/>
  <c r="H586" i="1"/>
  <c r="F586" i="1"/>
  <c r="E586" i="1"/>
  <c r="H585" i="1"/>
  <c r="F585" i="1"/>
  <c r="E585" i="1"/>
  <c r="H584" i="1"/>
  <c r="F584" i="1"/>
  <c r="E584" i="1"/>
  <c r="H583" i="1"/>
  <c r="F583" i="1"/>
  <c r="E583" i="1"/>
  <c r="H582" i="1"/>
  <c r="F582" i="1"/>
  <c r="E582" i="1"/>
  <c r="H581" i="1"/>
  <c r="F581" i="1"/>
  <c r="E581" i="1"/>
  <c r="H580" i="1"/>
  <c r="F580" i="1"/>
  <c r="E580" i="1"/>
  <c r="H579" i="1"/>
  <c r="F579" i="1"/>
  <c r="E579" i="1"/>
  <c r="H578" i="1"/>
  <c r="F578" i="1"/>
  <c r="E578" i="1"/>
  <c r="H577" i="1"/>
  <c r="F577" i="1"/>
  <c r="E577" i="1"/>
  <c r="H576" i="1"/>
  <c r="F576" i="1"/>
  <c r="E576" i="1"/>
  <c r="H575" i="1"/>
  <c r="F575" i="1"/>
  <c r="E575" i="1"/>
  <c r="H574" i="1"/>
  <c r="F574" i="1"/>
  <c r="E574" i="1"/>
  <c r="H573" i="1"/>
  <c r="F573" i="1"/>
  <c r="E573" i="1"/>
  <c r="H572" i="1"/>
  <c r="F572" i="1"/>
  <c r="E572" i="1"/>
  <c r="H571" i="1"/>
  <c r="F571" i="1"/>
  <c r="E571" i="1"/>
  <c r="H570" i="1"/>
  <c r="F570" i="1"/>
  <c r="E570" i="1"/>
  <c r="H569" i="1"/>
  <c r="F569" i="1"/>
  <c r="E569" i="1"/>
  <c r="H568" i="1"/>
  <c r="F568" i="1"/>
  <c r="E568" i="1"/>
  <c r="H567" i="1"/>
  <c r="F567" i="1"/>
  <c r="E567" i="1"/>
  <c r="H566" i="1"/>
  <c r="F566" i="1"/>
  <c r="E566" i="1"/>
  <c r="H565" i="1"/>
  <c r="F565" i="1"/>
  <c r="E565" i="1"/>
  <c r="H564" i="1"/>
  <c r="F564" i="1"/>
  <c r="E564" i="1"/>
  <c r="H563" i="1"/>
  <c r="F563" i="1"/>
  <c r="E563" i="1"/>
  <c r="H562" i="1"/>
  <c r="F562" i="1"/>
  <c r="E562" i="1"/>
  <c r="H561" i="1"/>
  <c r="F561" i="1"/>
  <c r="E561" i="1"/>
  <c r="H560" i="1"/>
  <c r="F560" i="1"/>
  <c r="E560" i="1"/>
  <c r="H559" i="1"/>
  <c r="F559" i="1"/>
  <c r="E559" i="1"/>
  <c r="H558" i="1"/>
  <c r="F558" i="1"/>
  <c r="E558" i="1"/>
  <c r="H557" i="1"/>
  <c r="F557" i="1"/>
  <c r="E557" i="1"/>
  <c r="H556" i="1"/>
  <c r="F556" i="1"/>
  <c r="E556" i="1"/>
  <c r="H555" i="1"/>
  <c r="F555" i="1"/>
  <c r="E555" i="1"/>
  <c r="H554" i="1"/>
  <c r="F554" i="1"/>
  <c r="E554" i="1"/>
  <c r="H553" i="1"/>
  <c r="F553" i="1"/>
  <c r="E553" i="1"/>
  <c r="H552" i="1"/>
  <c r="F552" i="1"/>
  <c r="E552" i="1"/>
  <c r="H551" i="1"/>
  <c r="F551" i="1"/>
  <c r="E551" i="1"/>
  <c r="H550" i="1"/>
  <c r="F550" i="1"/>
  <c r="E550" i="1"/>
  <c r="H549" i="1"/>
  <c r="F549" i="1"/>
  <c r="E549" i="1"/>
  <c r="H548" i="1"/>
  <c r="F548" i="1"/>
  <c r="E548" i="1"/>
  <c r="H547" i="1"/>
  <c r="F547" i="1"/>
  <c r="E547" i="1"/>
  <c r="H546" i="1"/>
  <c r="F546" i="1"/>
  <c r="E546" i="1"/>
  <c r="H545" i="1"/>
  <c r="F545" i="1"/>
  <c r="E545" i="1"/>
  <c r="H544" i="1"/>
  <c r="F544" i="1"/>
  <c r="E544" i="1"/>
  <c r="H543" i="1"/>
  <c r="F543" i="1"/>
  <c r="E543" i="1"/>
  <c r="H542" i="1"/>
  <c r="F542" i="1"/>
  <c r="E542" i="1"/>
  <c r="H541" i="1"/>
  <c r="F541" i="1"/>
  <c r="E541" i="1"/>
  <c r="H540" i="1"/>
  <c r="F540" i="1"/>
  <c r="E540" i="1"/>
  <c r="H539" i="1"/>
  <c r="F539" i="1"/>
  <c r="E539" i="1"/>
  <c r="H538" i="1"/>
  <c r="F538" i="1"/>
  <c r="E538" i="1"/>
  <c r="H537" i="1"/>
  <c r="F537" i="1"/>
  <c r="E537" i="1"/>
  <c r="H536" i="1"/>
  <c r="F536" i="1"/>
  <c r="E536" i="1"/>
  <c r="H535" i="1"/>
  <c r="F535" i="1"/>
  <c r="E535" i="1"/>
  <c r="H534" i="1"/>
  <c r="F534" i="1"/>
  <c r="E534" i="1"/>
  <c r="H533" i="1"/>
  <c r="F533" i="1"/>
  <c r="E533" i="1"/>
  <c r="H532" i="1"/>
  <c r="F532" i="1"/>
  <c r="E532" i="1"/>
  <c r="H531" i="1"/>
  <c r="F531" i="1"/>
  <c r="E531" i="1"/>
  <c r="H530" i="1"/>
  <c r="F530" i="1"/>
  <c r="E530" i="1"/>
  <c r="H529" i="1"/>
  <c r="F529" i="1"/>
  <c r="E529" i="1"/>
  <c r="H528" i="1"/>
  <c r="F528" i="1"/>
  <c r="E528" i="1"/>
  <c r="H527" i="1"/>
  <c r="F527" i="1"/>
  <c r="E527" i="1"/>
  <c r="H526" i="1"/>
  <c r="F526" i="1"/>
  <c r="E526" i="1"/>
  <c r="H525" i="1"/>
  <c r="F525" i="1"/>
  <c r="E525" i="1"/>
  <c r="H524" i="1"/>
  <c r="F524" i="1"/>
  <c r="E524" i="1"/>
  <c r="H523" i="1"/>
  <c r="F523" i="1"/>
  <c r="E523" i="1"/>
  <c r="H522" i="1"/>
  <c r="F522" i="1"/>
  <c r="E522" i="1"/>
  <c r="H521" i="1"/>
  <c r="F521" i="1"/>
  <c r="E521" i="1"/>
  <c r="H520" i="1"/>
  <c r="F520" i="1"/>
  <c r="E520" i="1"/>
  <c r="H519" i="1"/>
  <c r="F519" i="1"/>
  <c r="E519" i="1"/>
  <c r="H518" i="1"/>
  <c r="F518" i="1"/>
  <c r="E518" i="1"/>
  <c r="H517" i="1"/>
  <c r="F517" i="1"/>
  <c r="E517" i="1"/>
  <c r="H516" i="1"/>
  <c r="F516" i="1"/>
  <c r="E516" i="1"/>
  <c r="H515" i="1"/>
  <c r="F515" i="1"/>
  <c r="E515" i="1"/>
  <c r="H514" i="1"/>
  <c r="F514" i="1"/>
  <c r="E514" i="1"/>
  <c r="H513" i="1"/>
  <c r="F513" i="1"/>
  <c r="E513" i="1"/>
  <c r="H512" i="1"/>
  <c r="F512" i="1"/>
  <c r="E512" i="1"/>
  <c r="H511" i="1"/>
  <c r="F511" i="1"/>
  <c r="E511" i="1"/>
  <c r="H510" i="1"/>
  <c r="F510" i="1"/>
  <c r="E510" i="1"/>
  <c r="H509" i="1"/>
  <c r="F509" i="1"/>
  <c r="E509" i="1"/>
  <c r="H508" i="1"/>
  <c r="F508" i="1"/>
  <c r="E508" i="1"/>
  <c r="H507" i="1"/>
  <c r="F507" i="1"/>
  <c r="H506" i="1"/>
  <c r="F506" i="1"/>
  <c r="E506" i="1"/>
  <c r="H505" i="1"/>
  <c r="F505" i="1"/>
  <c r="E505" i="1"/>
  <c r="H504" i="1"/>
  <c r="F504" i="1"/>
  <c r="E504" i="1"/>
  <c r="H503" i="1"/>
  <c r="F503" i="1"/>
  <c r="E503" i="1"/>
  <c r="H502" i="1"/>
  <c r="F502" i="1"/>
  <c r="E502" i="1"/>
  <c r="H501" i="1"/>
  <c r="F501" i="1"/>
  <c r="E501" i="1"/>
  <c r="H500" i="1"/>
  <c r="F500" i="1"/>
  <c r="E500" i="1"/>
  <c r="H499" i="1"/>
  <c r="F499" i="1"/>
  <c r="E499" i="1"/>
  <c r="H498" i="1"/>
  <c r="F498" i="1"/>
  <c r="E498" i="1"/>
  <c r="H497" i="1"/>
  <c r="F497" i="1"/>
  <c r="E497" i="1"/>
  <c r="H496" i="1"/>
  <c r="F496" i="1"/>
  <c r="E496" i="1"/>
  <c r="H495" i="1"/>
  <c r="F495" i="1"/>
  <c r="E495" i="1"/>
  <c r="H494" i="1"/>
  <c r="F494" i="1"/>
  <c r="E494" i="1"/>
  <c r="H493" i="1"/>
  <c r="F493" i="1"/>
  <c r="E493" i="1"/>
  <c r="H492" i="1"/>
  <c r="F492" i="1"/>
  <c r="E492" i="1"/>
  <c r="H491" i="1"/>
  <c r="F491" i="1"/>
  <c r="E491" i="1"/>
  <c r="H490" i="1"/>
  <c r="F490" i="1"/>
  <c r="E490" i="1"/>
  <c r="H489" i="1"/>
  <c r="F489" i="1"/>
  <c r="E489" i="1"/>
  <c r="H488" i="1"/>
  <c r="F488" i="1"/>
  <c r="E488" i="1"/>
  <c r="H487" i="1"/>
  <c r="F487" i="1"/>
  <c r="E487" i="1"/>
  <c r="H486" i="1"/>
  <c r="F486" i="1"/>
  <c r="E486" i="1"/>
  <c r="H485" i="1"/>
  <c r="F485" i="1"/>
  <c r="E485" i="1"/>
  <c r="H484" i="1"/>
  <c r="F484" i="1"/>
  <c r="E484" i="1"/>
  <c r="H483" i="1"/>
  <c r="F483" i="1"/>
  <c r="E483" i="1"/>
  <c r="H482" i="1"/>
  <c r="F482" i="1"/>
  <c r="E482" i="1"/>
  <c r="H481" i="1"/>
  <c r="F481" i="1"/>
  <c r="E481" i="1"/>
  <c r="H480" i="1"/>
  <c r="F480" i="1"/>
  <c r="E480" i="1"/>
  <c r="H479" i="1"/>
  <c r="F479" i="1"/>
  <c r="E479" i="1"/>
  <c r="H478" i="1"/>
  <c r="F478" i="1"/>
  <c r="E478" i="1"/>
  <c r="H477" i="1"/>
  <c r="F477" i="1"/>
  <c r="E477" i="1"/>
  <c r="H476" i="1"/>
  <c r="F476" i="1"/>
  <c r="E476" i="1"/>
  <c r="H475" i="1"/>
  <c r="F475" i="1"/>
  <c r="E475" i="1"/>
  <c r="H474" i="1"/>
  <c r="F474" i="1"/>
  <c r="E474" i="1"/>
  <c r="H473" i="1"/>
  <c r="F473" i="1"/>
  <c r="E473" i="1"/>
  <c r="H472" i="1"/>
  <c r="F472" i="1"/>
  <c r="E472" i="1"/>
  <c r="H471" i="1"/>
  <c r="F471" i="1"/>
  <c r="E471" i="1"/>
  <c r="H470" i="1"/>
  <c r="F470" i="1"/>
  <c r="E470" i="1"/>
  <c r="H469" i="1"/>
  <c r="F469" i="1"/>
  <c r="E469" i="1"/>
  <c r="H468" i="1"/>
  <c r="F468" i="1"/>
  <c r="E468" i="1"/>
  <c r="H467" i="1"/>
  <c r="F467" i="1"/>
  <c r="E467" i="1"/>
  <c r="H466" i="1"/>
  <c r="F466" i="1"/>
  <c r="E466" i="1"/>
  <c r="H465" i="1"/>
  <c r="F465" i="1"/>
  <c r="E465" i="1"/>
  <c r="H464" i="1"/>
  <c r="F464" i="1"/>
  <c r="E464" i="1"/>
  <c r="H463" i="1"/>
  <c r="F463" i="1"/>
  <c r="E463" i="1"/>
  <c r="H462" i="1"/>
  <c r="F462" i="1"/>
  <c r="E462" i="1"/>
  <c r="H461" i="1"/>
  <c r="F461" i="1"/>
  <c r="E461" i="1"/>
  <c r="H460" i="1"/>
  <c r="F460" i="1"/>
  <c r="E460" i="1"/>
  <c r="H459" i="1"/>
  <c r="F459" i="1"/>
  <c r="E459" i="1"/>
  <c r="H458" i="1"/>
  <c r="F458" i="1"/>
  <c r="E458" i="1"/>
  <c r="H457" i="1"/>
  <c r="F457" i="1"/>
  <c r="E457" i="1"/>
  <c r="H456" i="1"/>
  <c r="F456" i="1"/>
  <c r="E456" i="1"/>
  <c r="H455" i="1"/>
  <c r="F455" i="1"/>
  <c r="E455" i="1"/>
  <c r="H454" i="1"/>
  <c r="F454" i="1"/>
  <c r="H453" i="1"/>
  <c r="F453" i="1"/>
  <c r="E453" i="1"/>
  <c r="H452" i="1"/>
  <c r="F452" i="1"/>
  <c r="E452" i="1"/>
  <c r="H451" i="1"/>
  <c r="F451" i="1"/>
  <c r="E451" i="1"/>
  <c r="H450" i="1"/>
  <c r="F450" i="1"/>
  <c r="E450" i="1"/>
  <c r="H449" i="1"/>
  <c r="F449" i="1"/>
  <c r="E449" i="1"/>
  <c r="H448" i="1"/>
  <c r="F448" i="1"/>
  <c r="E448" i="1"/>
  <c r="H447" i="1"/>
  <c r="F447" i="1"/>
  <c r="E447" i="1"/>
  <c r="H446" i="1"/>
  <c r="F446" i="1"/>
  <c r="E446" i="1"/>
  <c r="H445" i="1"/>
  <c r="F445" i="1"/>
  <c r="E445" i="1"/>
  <c r="H444" i="1"/>
  <c r="F444" i="1"/>
  <c r="E444" i="1"/>
  <c r="H443" i="1"/>
  <c r="F443" i="1"/>
  <c r="E443" i="1"/>
  <c r="H442" i="1"/>
  <c r="F442" i="1"/>
  <c r="E442" i="1"/>
  <c r="H441" i="1"/>
  <c r="F441" i="1"/>
  <c r="E441" i="1"/>
  <c r="H440" i="1"/>
  <c r="F440" i="1"/>
  <c r="E440" i="1"/>
  <c r="H439" i="1"/>
  <c r="F439" i="1"/>
  <c r="E439" i="1"/>
  <c r="H438" i="1"/>
  <c r="F438" i="1"/>
  <c r="E438" i="1"/>
  <c r="H437" i="1"/>
  <c r="F437" i="1"/>
  <c r="E437" i="1"/>
  <c r="H436" i="1"/>
  <c r="F436" i="1"/>
  <c r="E436" i="1"/>
  <c r="H435" i="1"/>
  <c r="F435" i="1"/>
  <c r="E435" i="1"/>
  <c r="H434" i="1"/>
  <c r="F434" i="1"/>
  <c r="E434" i="1"/>
  <c r="H433" i="1"/>
  <c r="F433" i="1"/>
  <c r="E433" i="1"/>
  <c r="H432" i="1"/>
  <c r="F432" i="1"/>
  <c r="E432" i="1"/>
  <c r="H431" i="1"/>
  <c r="F431" i="1"/>
  <c r="E431" i="1"/>
  <c r="H430" i="1"/>
  <c r="F430" i="1"/>
  <c r="E430" i="1"/>
  <c r="H429" i="1"/>
  <c r="F429" i="1"/>
  <c r="E429" i="1"/>
  <c r="H428" i="1"/>
  <c r="F428" i="1"/>
  <c r="E428" i="1"/>
  <c r="H427" i="1"/>
  <c r="F427" i="1"/>
  <c r="E427" i="1"/>
  <c r="H426" i="1"/>
  <c r="F426" i="1"/>
  <c r="E426" i="1"/>
  <c r="H425" i="1"/>
  <c r="F425" i="1"/>
  <c r="E425" i="1"/>
  <c r="H424" i="1"/>
  <c r="F424" i="1"/>
  <c r="E424" i="1"/>
  <c r="H423" i="1"/>
  <c r="F423" i="1"/>
  <c r="E423" i="1"/>
  <c r="H422" i="1"/>
  <c r="F422" i="1"/>
  <c r="E422" i="1"/>
  <c r="H421" i="1"/>
  <c r="F421" i="1"/>
  <c r="E421" i="1"/>
  <c r="H420" i="1"/>
  <c r="F420" i="1"/>
  <c r="E420" i="1"/>
  <c r="H419" i="1"/>
  <c r="F419" i="1"/>
  <c r="E419" i="1"/>
  <c r="H418" i="1"/>
  <c r="F418" i="1"/>
  <c r="H417" i="1"/>
  <c r="F417" i="1"/>
  <c r="E417" i="1"/>
  <c r="H416" i="1"/>
  <c r="F416" i="1"/>
  <c r="E416" i="1"/>
  <c r="H415" i="1"/>
  <c r="F415" i="1"/>
  <c r="E415" i="1"/>
  <c r="H414" i="1"/>
  <c r="F414" i="1"/>
  <c r="E414" i="1"/>
  <c r="H413" i="1"/>
  <c r="F413" i="1"/>
  <c r="E413" i="1"/>
  <c r="H412" i="1"/>
  <c r="F412" i="1"/>
  <c r="E412" i="1"/>
  <c r="H411" i="1"/>
  <c r="F411" i="1"/>
  <c r="E411" i="1"/>
  <c r="H410" i="1"/>
  <c r="F410" i="1"/>
  <c r="E410" i="1"/>
  <c r="H409" i="1"/>
  <c r="F409" i="1"/>
  <c r="E409" i="1"/>
  <c r="H408" i="1"/>
  <c r="F408" i="1"/>
  <c r="E408" i="1"/>
  <c r="H407" i="1"/>
  <c r="F407" i="1"/>
  <c r="E407" i="1"/>
  <c r="H406" i="1"/>
  <c r="F406" i="1"/>
  <c r="E406" i="1"/>
  <c r="H405" i="1"/>
  <c r="F405" i="1"/>
  <c r="E405" i="1"/>
  <c r="H404" i="1"/>
  <c r="F404" i="1"/>
  <c r="E404" i="1"/>
  <c r="H403" i="1"/>
  <c r="F403" i="1"/>
  <c r="E403" i="1"/>
  <c r="H402" i="1"/>
  <c r="F402" i="1"/>
  <c r="E402" i="1"/>
  <c r="H401" i="1"/>
  <c r="F401" i="1"/>
  <c r="E401" i="1"/>
  <c r="H400" i="1"/>
  <c r="F400" i="1"/>
  <c r="E400" i="1"/>
  <c r="H399" i="1"/>
  <c r="F399" i="1"/>
  <c r="E399" i="1"/>
  <c r="H398" i="1"/>
  <c r="F398" i="1"/>
  <c r="E398" i="1"/>
  <c r="H397" i="1"/>
  <c r="F397" i="1"/>
  <c r="E397" i="1"/>
  <c r="H396" i="1"/>
  <c r="F396" i="1"/>
  <c r="E396" i="1"/>
  <c r="H395" i="1"/>
  <c r="F395" i="1"/>
  <c r="E395" i="1"/>
  <c r="H394" i="1"/>
  <c r="F394" i="1"/>
  <c r="E394" i="1"/>
  <c r="H393" i="1"/>
  <c r="F393" i="1"/>
  <c r="E393" i="1"/>
  <c r="H392" i="1"/>
  <c r="F392" i="1"/>
  <c r="E392" i="1"/>
  <c r="H391" i="1"/>
  <c r="F391" i="1"/>
  <c r="E391" i="1"/>
  <c r="H390" i="1"/>
  <c r="F390" i="1"/>
  <c r="E390" i="1"/>
  <c r="H389" i="1"/>
  <c r="F389" i="1"/>
  <c r="E389" i="1"/>
  <c r="H388" i="1"/>
  <c r="F388" i="1"/>
  <c r="E388" i="1"/>
  <c r="H387" i="1"/>
  <c r="F387" i="1"/>
  <c r="E387" i="1"/>
  <c r="H386" i="1"/>
  <c r="F386" i="1"/>
  <c r="E386" i="1"/>
  <c r="H385" i="1"/>
  <c r="F385" i="1"/>
  <c r="E385" i="1"/>
  <c r="H384" i="1"/>
  <c r="F384" i="1"/>
  <c r="E384" i="1"/>
  <c r="H383" i="1"/>
  <c r="F383" i="1"/>
  <c r="E383" i="1"/>
  <c r="H382" i="1"/>
  <c r="F382" i="1"/>
  <c r="E382" i="1"/>
  <c r="H381" i="1"/>
  <c r="F381" i="1"/>
  <c r="E381" i="1"/>
  <c r="H380" i="1"/>
  <c r="F380" i="1"/>
  <c r="E380" i="1"/>
  <c r="H379" i="1"/>
  <c r="F379" i="1"/>
  <c r="E379" i="1"/>
  <c r="H378" i="1"/>
  <c r="F378" i="1"/>
  <c r="E378" i="1"/>
  <c r="H377" i="1"/>
  <c r="F377" i="1"/>
  <c r="E377" i="1"/>
  <c r="H376" i="1"/>
  <c r="F376" i="1"/>
  <c r="E376" i="1"/>
  <c r="H375" i="1"/>
  <c r="F375" i="1"/>
  <c r="E375" i="1"/>
  <c r="H374" i="1"/>
  <c r="F374" i="1"/>
  <c r="E374" i="1"/>
  <c r="H373" i="1"/>
  <c r="F373" i="1"/>
  <c r="E373" i="1"/>
  <c r="H372" i="1"/>
  <c r="F372" i="1"/>
  <c r="E372" i="1"/>
  <c r="H371" i="1"/>
  <c r="F371" i="1"/>
  <c r="E371" i="1"/>
  <c r="H370" i="1"/>
  <c r="F370" i="1"/>
  <c r="E370" i="1"/>
  <c r="H369" i="1"/>
  <c r="F369" i="1"/>
  <c r="E369" i="1"/>
  <c r="H368" i="1"/>
  <c r="F368" i="1"/>
  <c r="E368" i="1"/>
  <c r="H367" i="1"/>
  <c r="F367" i="1"/>
  <c r="E367" i="1"/>
  <c r="H366" i="1"/>
  <c r="F366" i="1"/>
  <c r="E366" i="1"/>
  <c r="H365" i="1"/>
  <c r="F365" i="1"/>
  <c r="E365" i="1"/>
  <c r="H364" i="1"/>
  <c r="F364" i="1"/>
  <c r="E364" i="1"/>
  <c r="H363" i="1"/>
  <c r="F363" i="1"/>
  <c r="E363" i="1"/>
  <c r="H362" i="1"/>
  <c r="F362" i="1"/>
  <c r="E362" i="1"/>
  <c r="H361" i="1"/>
  <c r="F361" i="1"/>
  <c r="E361" i="1"/>
  <c r="H360" i="1"/>
  <c r="F360" i="1"/>
  <c r="E360" i="1"/>
  <c r="H359" i="1"/>
  <c r="F359" i="1"/>
  <c r="E359" i="1"/>
  <c r="H358" i="1"/>
  <c r="F358" i="1"/>
  <c r="E358" i="1"/>
  <c r="H357" i="1"/>
  <c r="F357" i="1"/>
  <c r="E357" i="1"/>
  <c r="H356" i="1"/>
  <c r="F356" i="1"/>
  <c r="E356" i="1"/>
  <c r="H355" i="1"/>
  <c r="F355" i="1"/>
  <c r="E355" i="1"/>
  <c r="H354" i="1"/>
  <c r="F354" i="1"/>
  <c r="E354" i="1"/>
  <c r="H353" i="1"/>
  <c r="F353" i="1"/>
  <c r="E353" i="1"/>
  <c r="H352" i="1"/>
  <c r="F352" i="1"/>
  <c r="E352" i="1"/>
  <c r="H351" i="1"/>
  <c r="F351" i="1"/>
  <c r="E351" i="1"/>
  <c r="H350" i="1"/>
  <c r="F350" i="1"/>
  <c r="E350" i="1"/>
  <c r="H349" i="1"/>
  <c r="F349" i="1"/>
  <c r="E349" i="1"/>
  <c r="H348" i="1"/>
  <c r="F348" i="1"/>
  <c r="E348" i="1"/>
  <c r="H347" i="1"/>
  <c r="F347" i="1"/>
  <c r="E347" i="1"/>
  <c r="H346" i="1"/>
  <c r="F346" i="1"/>
  <c r="E346" i="1"/>
  <c r="H345" i="1"/>
  <c r="F345" i="1"/>
  <c r="E345" i="1"/>
  <c r="H344" i="1"/>
  <c r="F344" i="1"/>
  <c r="E344" i="1"/>
  <c r="H343" i="1"/>
  <c r="F343" i="1"/>
  <c r="E343" i="1"/>
  <c r="H342" i="1"/>
  <c r="F342" i="1"/>
  <c r="E342" i="1"/>
  <c r="H341" i="1"/>
  <c r="F341" i="1"/>
  <c r="E341" i="1"/>
  <c r="H340" i="1"/>
  <c r="F340" i="1"/>
  <c r="E340" i="1"/>
  <c r="H339" i="1"/>
  <c r="F339" i="1"/>
  <c r="E339" i="1"/>
  <c r="H338" i="1"/>
  <c r="F338" i="1"/>
  <c r="E338" i="1"/>
  <c r="H337" i="1"/>
  <c r="F337" i="1"/>
  <c r="E337" i="1"/>
  <c r="H336" i="1"/>
  <c r="F336" i="1"/>
  <c r="E336" i="1"/>
  <c r="H335" i="1"/>
  <c r="F335" i="1"/>
  <c r="E335" i="1"/>
  <c r="H334" i="1"/>
  <c r="F334" i="1"/>
  <c r="E334" i="1"/>
  <c r="H333" i="1"/>
  <c r="F333" i="1"/>
  <c r="E333" i="1"/>
  <c r="H332" i="1"/>
  <c r="F332" i="1"/>
  <c r="E332" i="1"/>
  <c r="H331" i="1"/>
  <c r="F331" i="1"/>
  <c r="E331" i="1"/>
  <c r="H330" i="1"/>
  <c r="F330" i="1"/>
  <c r="E330" i="1"/>
  <c r="H329" i="1"/>
  <c r="F329" i="1"/>
  <c r="E329" i="1"/>
  <c r="H328" i="1"/>
  <c r="F328" i="1"/>
  <c r="E328" i="1"/>
  <c r="H327" i="1"/>
  <c r="F327" i="1"/>
  <c r="E327" i="1"/>
  <c r="H326" i="1"/>
  <c r="F326" i="1"/>
  <c r="E326" i="1"/>
  <c r="H325" i="1"/>
  <c r="F325" i="1"/>
  <c r="E325" i="1"/>
  <c r="H324" i="1"/>
  <c r="F324" i="1"/>
  <c r="E324" i="1"/>
  <c r="H323" i="1"/>
  <c r="F323" i="1"/>
  <c r="E323" i="1"/>
  <c r="H322" i="1"/>
  <c r="F322" i="1"/>
  <c r="E322" i="1"/>
  <c r="H321" i="1"/>
  <c r="F321" i="1"/>
  <c r="E321" i="1"/>
  <c r="H320" i="1"/>
  <c r="F320" i="1"/>
  <c r="E320" i="1"/>
  <c r="H319" i="1"/>
  <c r="F319" i="1"/>
  <c r="E319" i="1"/>
  <c r="H318" i="1"/>
  <c r="F318" i="1"/>
  <c r="E318" i="1"/>
  <c r="H317" i="1"/>
  <c r="F317" i="1"/>
  <c r="E317" i="1"/>
  <c r="H316" i="1"/>
  <c r="F316" i="1"/>
  <c r="E316" i="1"/>
  <c r="H315" i="1"/>
  <c r="F315" i="1"/>
  <c r="E315" i="1"/>
  <c r="H314" i="1"/>
  <c r="F314" i="1"/>
  <c r="E314" i="1"/>
  <c r="H313" i="1"/>
  <c r="F313" i="1"/>
  <c r="E313" i="1"/>
  <c r="H312" i="1"/>
  <c r="F312" i="1"/>
  <c r="E312" i="1"/>
  <c r="H311" i="1"/>
  <c r="F311" i="1"/>
  <c r="E311" i="1"/>
  <c r="H310" i="1"/>
  <c r="F310" i="1"/>
  <c r="E310" i="1"/>
  <c r="H309" i="1"/>
  <c r="F309" i="1"/>
  <c r="E309" i="1"/>
  <c r="H308" i="1"/>
  <c r="F308" i="1"/>
  <c r="E308" i="1"/>
  <c r="H307" i="1"/>
  <c r="F307" i="1"/>
  <c r="E307" i="1"/>
  <c r="H306" i="1"/>
  <c r="F306" i="1"/>
  <c r="E306" i="1"/>
  <c r="H305" i="1"/>
  <c r="F305" i="1"/>
  <c r="E305" i="1"/>
  <c r="H304" i="1"/>
  <c r="F304" i="1"/>
  <c r="E304" i="1"/>
  <c r="H303" i="1"/>
  <c r="F303" i="1"/>
  <c r="E303" i="1"/>
  <c r="H302" i="1"/>
  <c r="F302" i="1"/>
  <c r="E302" i="1"/>
  <c r="H301" i="1"/>
  <c r="F301" i="1"/>
  <c r="E301" i="1"/>
  <c r="H300" i="1"/>
  <c r="F300" i="1"/>
  <c r="E300" i="1"/>
  <c r="H299" i="1"/>
  <c r="F299" i="1"/>
  <c r="E299" i="1"/>
  <c r="H298" i="1"/>
  <c r="F298" i="1"/>
  <c r="E298" i="1"/>
  <c r="H297" i="1"/>
  <c r="F297" i="1"/>
  <c r="E297" i="1"/>
  <c r="H296" i="1"/>
  <c r="F296" i="1"/>
  <c r="E296" i="1"/>
  <c r="H295" i="1"/>
  <c r="F295" i="1"/>
  <c r="E295" i="1"/>
  <c r="H294" i="1"/>
  <c r="F294" i="1"/>
  <c r="E294" i="1"/>
  <c r="H293" i="1"/>
  <c r="F293" i="1"/>
  <c r="E293" i="1"/>
  <c r="H292" i="1"/>
  <c r="F292" i="1"/>
  <c r="E292" i="1"/>
  <c r="H291" i="1"/>
  <c r="F291" i="1"/>
  <c r="E291" i="1"/>
  <c r="H290" i="1"/>
  <c r="F290" i="1"/>
  <c r="E290" i="1"/>
  <c r="H289" i="1"/>
  <c r="F289" i="1"/>
  <c r="E289" i="1"/>
  <c r="H288" i="1"/>
  <c r="F288" i="1"/>
  <c r="E288" i="1"/>
  <c r="H287" i="1"/>
  <c r="F287" i="1"/>
  <c r="E287" i="1"/>
  <c r="H286" i="1"/>
  <c r="F286" i="1"/>
  <c r="E286" i="1"/>
  <c r="H285" i="1"/>
  <c r="F285" i="1"/>
  <c r="E285" i="1"/>
  <c r="H284" i="1"/>
  <c r="F284" i="1"/>
  <c r="E284" i="1"/>
  <c r="H283" i="1"/>
  <c r="F283" i="1"/>
  <c r="E283" i="1"/>
  <c r="H282" i="1"/>
  <c r="F282" i="1"/>
  <c r="E282" i="1"/>
  <c r="H281" i="1"/>
  <c r="F281" i="1"/>
  <c r="E281" i="1"/>
  <c r="H280" i="1"/>
  <c r="F280" i="1"/>
  <c r="E280" i="1"/>
  <c r="H279" i="1"/>
  <c r="F279" i="1"/>
  <c r="E279" i="1"/>
  <c r="H278" i="1"/>
  <c r="F278" i="1"/>
  <c r="E278" i="1"/>
  <c r="H277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9" i="1"/>
  <c r="F269" i="1"/>
  <c r="E269" i="1"/>
  <c r="H268" i="1"/>
  <c r="F268" i="1"/>
  <c r="E268" i="1"/>
  <c r="H267" i="1"/>
  <c r="F267" i="1"/>
  <c r="E267" i="1"/>
  <c r="H266" i="1"/>
  <c r="F266" i="1"/>
  <c r="E266" i="1"/>
  <c r="H265" i="1"/>
  <c r="F265" i="1"/>
  <c r="E265" i="1"/>
  <c r="H264" i="1"/>
  <c r="F264" i="1"/>
  <c r="E264" i="1"/>
  <c r="H263" i="1"/>
  <c r="F263" i="1"/>
  <c r="E263" i="1"/>
  <c r="H262" i="1"/>
  <c r="F262" i="1"/>
  <c r="E262" i="1"/>
  <c r="H261" i="1"/>
  <c r="F261" i="1"/>
  <c r="E261" i="1"/>
  <c r="H260" i="1"/>
  <c r="F260" i="1"/>
  <c r="E260" i="1"/>
  <c r="H259" i="1"/>
  <c r="F259" i="1"/>
  <c r="E259" i="1"/>
  <c r="H258" i="1"/>
  <c r="F258" i="1"/>
  <c r="E258" i="1"/>
  <c r="H257" i="1"/>
  <c r="F257" i="1"/>
  <c r="E257" i="1"/>
  <c r="H256" i="1"/>
  <c r="F256" i="1"/>
  <c r="E256" i="1"/>
  <c r="H255" i="1"/>
  <c r="F255" i="1"/>
  <c r="E255" i="1"/>
  <c r="H254" i="1"/>
  <c r="F254" i="1"/>
  <c r="E254" i="1"/>
  <c r="H253" i="1"/>
  <c r="F253" i="1"/>
  <c r="E253" i="1"/>
  <c r="H252" i="1"/>
  <c r="F252" i="1"/>
  <c r="E252" i="1"/>
  <c r="H251" i="1"/>
  <c r="F251" i="1"/>
  <c r="E251" i="1"/>
  <c r="H250" i="1"/>
  <c r="F250" i="1"/>
  <c r="E250" i="1"/>
  <c r="H249" i="1"/>
  <c r="F249" i="1"/>
  <c r="E249" i="1"/>
  <c r="H248" i="1"/>
  <c r="F248" i="1"/>
  <c r="E248" i="1"/>
  <c r="H247" i="1"/>
  <c r="F247" i="1"/>
  <c r="E247" i="1"/>
  <c r="H246" i="1"/>
  <c r="F246" i="1"/>
  <c r="E246" i="1"/>
  <c r="H245" i="1"/>
  <c r="F245" i="1"/>
  <c r="E245" i="1"/>
  <c r="H244" i="1"/>
  <c r="F244" i="1"/>
  <c r="E244" i="1"/>
  <c r="H243" i="1"/>
  <c r="F243" i="1"/>
  <c r="E243" i="1"/>
  <c r="H242" i="1"/>
  <c r="F242" i="1"/>
  <c r="E242" i="1"/>
  <c r="H241" i="1"/>
  <c r="F241" i="1"/>
  <c r="E241" i="1"/>
  <c r="H240" i="1"/>
  <c r="F240" i="1"/>
  <c r="E240" i="1"/>
  <c r="H239" i="1"/>
  <c r="F239" i="1"/>
  <c r="E239" i="1"/>
  <c r="H238" i="1"/>
  <c r="F238" i="1"/>
  <c r="E238" i="1"/>
  <c r="H237" i="1"/>
  <c r="F237" i="1"/>
  <c r="E237" i="1"/>
  <c r="H236" i="1"/>
  <c r="F236" i="1"/>
  <c r="E236" i="1"/>
  <c r="H235" i="1"/>
  <c r="F235" i="1"/>
  <c r="E235" i="1"/>
  <c r="H234" i="1"/>
  <c r="F234" i="1"/>
  <c r="E234" i="1"/>
  <c r="H233" i="1"/>
  <c r="F233" i="1"/>
  <c r="E233" i="1"/>
  <c r="H232" i="1"/>
  <c r="F232" i="1"/>
  <c r="E232" i="1"/>
  <c r="H231" i="1"/>
  <c r="F231" i="1"/>
  <c r="E231" i="1"/>
  <c r="H230" i="1"/>
  <c r="F230" i="1"/>
  <c r="E230" i="1"/>
  <c r="H229" i="1"/>
  <c r="F229" i="1"/>
  <c r="E229" i="1"/>
  <c r="H228" i="1"/>
  <c r="F228" i="1"/>
  <c r="E228" i="1"/>
  <c r="H227" i="1"/>
  <c r="F227" i="1"/>
  <c r="E227" i="1"/>
  <c r="H226" i="1"/>
  <c r="F226" i="1"/>
  <c r="E226" i="1"/>
  <c r="H225" i="1"/>
  <c r="F225" i="1"/>
  <c r="E225" i="1"/>
  <c r="H224" i="1"/>
  <c r="F224" i="1"/>
  <c r="E224" i="1"/>
  <c r="H223" i="1"/>
  <c r="F223" i="1"/>
  <c r="E223" i="1"/>
  <c r="H222" i="1"/>
  <c r="F222" i="1"/>
  <c r="E222" i="1"/>
  <c r="H221" i="1"/>
  <c r="F221" i="1"/>
  <c r="E221" i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6" i="1"/>
  <c r="F216" i="1"/>
  <c r="E216" i="1"/>
  <c r="H215" i="1"/>
  <c r="F215" i="1"/>
  <c r="E215" i="1"/>
  <c r="H214" i="1"/>
  <c r="F214" i="1"/>
  <c r="E214" i="1"/>
  <c r="H213" i="1"/>
  <c r="F213" i="1"/>
  <c r="E213" i="1"/>
  <c r="H212" i="1"/>
  <c r="F212" i="1"/>
  <c r="E212" i="1"/>
  <c r="H211" i="1"/>
  <c r="F211" i="1"/>
  <c r="E211" i="1"/>
  <c r="H210" i="1"/>
  <c r="F210" i="1"/>
  <c r="E210" i="1"/>
  <c r="H209" i="1"/>
  <c r="F209" i="1"/>
  <c r="E209" i="1"/>
  <c r="H208" i="1"/>
  <c r="F208" i="1"/>
  <c r="E208" i="1"/>
  <c r="H207" i="1"/>
  <c r="F207" i="1"/>
  <c r="E207" i="1"/>
  <c r="H206" i="1"/>
  <c r="F206" i="1"/>
  <c r="E206" i="1"/>
  <c r="H205" i="1"/>
  <c r="F205" i="1"/>
  <c r="E205" i="1"/>
  <c r="H204" i="1"/>
  <c r="F204" i="1"/>
  <c r="E204" i="1"/>
  <c r="H203" i="1"/>
  <c r="F203" i="1"/>
  <c r="E203" i="1"/>
  <c r="H202" i="1"/>
  <c r="F202" i="1"/>
  <c r="E202" i="1"/>
  <c r="H201" i="1"/>
  <c r="F201" i="1"/>
  <c r="E201" i="1"/>
  <c r="H200" i="1"/>
  <c r="F200" i="1"/>
  <c r="E200" i="1"/>
  <c r="H199" i="1"/>
  <c r="F199" i="1"/>
  <c r="E199" i="1"/>
  <c r="H198" i="1"/>
  <c r="F198" i="1"/>
  <c r="E198" i="1"/>
  <c r="H197" i="1"/>
  <c r="F197" i="1"/>
  <c r="E197" i="1"/>
  <c r="H196" i="1"/>
  <c r="F196" i="1"/>
  <c r="E196" i="1"/>
  <c r="H195" i="1"/>
  <c r="F195" i="1"/>
  <c r="E195" i="1"/>
  <c r="H194" i="1"/>
  <c r="F194" i="1"/>
  <c r="E194" i="1"/>
  <c r="H193" i="1"/>
  <c r="F193" i="1"/>
  <c r="E193" i="1"/>
  <c r="H192" i="1"/>
  <c r="F192" i="1"/>
  <c r="E192" i="1"/>
  <c r="H191" i="1"/>
  <c r="F191" i="1"/>
  <c r="E191" i="1"/>
  <c r="H190" i="1"/>
  <c r="F190" i="1"/>
  <c r="E190" i="1"/>
  <c r="H189" i="1"/>
  <c r="F189" i="1"/>
  <c r="E189" i="1"/>
  <c r="H188" i="1"/>
  <c r="F188" i="1"/>
  <c r="E188" i="1"/>
  <c r="H187" i="1"/>
  <c r="F187" i="1"/>
  <c r="E187" i="1"/>
  <c r="H186" i="1"/>
  <c r="F186" i="1"/>
  <c r="E186" i="1"/>
  <c r="H185" i="1"/>
  <c r="F185" i="1"/>
  <c r="E185" i="1"/>
  <c r="H184" i="1"/>
  <c r="F184" i="1"/>
  <c r="E184" i="1"/>
  <c r="H183" i="1"/>
  <c r="F183" i="1"/>
  <c r="E183" i="1"/>
  <c r="H182" i="1"/>
  <c r="F182" i="1"/>
  <c r="E182" i="1"/>
  <c r="H181" i="1"/>
  <c r="F181" i="1"/>
  <c r="E181" i="1"/>
  <c r="H180" i="1"/>
  <c r="F180" i="1"/>
  <c r="E180" i="1"/>
  <c r="H179" i="1"/>
  <c r="F179" i="1"/>
  <c r="E179" i="1"/>
  <c r="H178" i="1"/>
  <c r="F178" i="1"/>
  <c r="E178" i="1"/>
  <c r="H177" i="1"/>
  <c r="F177" i="1"/>
  <c r="E177" i="1"/>
  <c r="H176" i="1"/>
  <c r="F176" i="1"/>
  <c r="E176" i="1"/>
  <c r="H175" i="1"/>
  <c r="F175" i="1"/>
  <c r="E175" i="1"/>
  <c r="H174" i="1"/>
  <c r="F174" i="1"/>
  <c r="E174" i="1"/>
  <c r="H173" i="1"/>
  <c r="F173" i="1"/>
  <c r="E173" i="1"/>
  <c r="H172" i="1"/>
  <c r="F172" i="1"/>
  <c r="E172" i="1"/>
  <c r="H171" i="1"/>
  <c r="F171" i="1"/>
  <c r="E171" i="1"/>
  <c r="H170" i="1"/>
  <c r="F170" i="1"/>
  <c r="E170" i="1"/>
  <c r="H169" i="1"/>
  <c r="F169" i="1"/>
  <c r="E169" i="1"/>
  <c r="H168" i="1"/>
  <c r="F168" i="1"/>
  <c r="E168" i="1"/>
  <c r="H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E163" i="1"/>
  <c r="H162" i="1"/>
  <c r="F162" i="1"/>
  <c r="E162" i="1"/>
  <c r="H161" i="1"/>
  <c r="F161" i="1"/>
  <c r="E161" i="1"/>
  <c r="H160" i="1"/>
  <c r="F160" i="1"/>
  <c r="E160" i="1"/>
  <c r="H159" i="1"/>
  <c r="F159" i="1"/>
  <c r="E159" i="1"/>
  <c r="H158" i="1"/>
  <c r="F158" i="1"/>
  <c r="E158" i="1"/>
  <c r="H157" i="1"/>
  <c r="F157" i="1"/>
  <c r="E157" i="1"/>
  <c r="H156" i="1"/>
  <c r="F156" i="1"/>
  <c r="E156" i="1"/>
  <c r="H155" i="1"/>
  <c r="F155" i="1"/>
  <c r="E155" i="1"/>
  <c r="H154" i="1"/>
  <c r="F154" i="1"/>
  <c r="E154" i="1"/>
  <c r="H153" i="1"/>
  <c r="F153" i="1"/>
  <c r="E153" i="1"/>
  <c r="H152" i="1"/>
  <c r="F152" i="1"/>
  <c r="E152" i="1"/>
  <c r="H151" i="1"/>
  <c r="F151" i="1"/>
  <c r="E151" i="1"/>
  <c r="H150" i="1"/>
  <c r="F150" i="1"/>
  <c r="E150" i="1"/>
  <c r="H149" i="1"/>
  <c r="F149" i="1"/>
  <c r="E149" i="1"/>
  <c r="H148" i="1"/>
  <c r="F148" i="1"/>
  <c r="E148" i="1"/>
  <c r="H147" i="1"/>
  <c r="F147" i="1"/>
  <c r="E147" i="1"/>
  <c r="H146" i="1"/>
  <c r="F146" i="1"/>
  <c r="E146" i="1"/>
  <c r="H145" i="1"/>
  <c r="F145" i="1"/>
  <c r="E145" i="1"/>
  <c r="H144" i="1"/>
  <c r="F144" i="1"/>
  <c r="E144" i="1"/>
  <c r="H143" i="1"/>
  <c r="F143" i="1"/>
  <c r="E143" i="1"/>
  <c r="H142" i="1"/>
  <c r="F142" i="1"/>
  <c r="E142" i="1"/>
  <c r="H141" i="1"/>
  <c r="F141" i="1"/>
  <c r="E141" i="1"/>
  <c r="H140" i="1"/>
  <c r="F140" i="1"/>
  <c r="E140" i="1"/>
  <c r="H139" i="1"/>
  <c r="F139" i="1"/>
  <c r="E139" i="1"/>
  <c r="H138" i="1"/>
  <c r="F138" i="1"/>
  <c r="E138" i="1"/>
  <c r="H137" i="1"/>
  <c r="F137" i="1"/>
  <c r="E137" i="1"/>
  <c r="H136" i="1"/>
  <c r="F136" i="1"/>
  <c r="E136" i="1"/>
  <c r="H135" i="1"/>
  <c r="F135" i="1"/>
  <c r="E135" i="1"/>
  <c r="H134" i="1"/>
  <c r="F134" i="1"/>
  <c r="E134" i="1"/>
  <c r="H133" i="1"/>
  <c r="F133" i="1"/>
  <c r="E133" i="1"/>
  <c r="H132" i="1"/>
  <c r="F132" i="1"/>
  <c r="E132" i="1"/>
  <c r="H131" i="1"/>
  <c r="F131" i="1"/>
  <c r="E131" i="1"/>
  <c r="H130" i="1"/>
  <c r="F130" i="1"/>
  <c r="E130" i="1"/>
  <c r="H129" i="1"/>
  <c r="F129" i="1"/>
  <c r="E129" i="1"/>
  <c r="H128" i="1"/>
  <c r="F128" i="1"/>
  <c r="E128" i="1"/>
  <c r="H127" i="1"/>
  <c r="F127" i="1"/>
  <c r="E127" i="1"/>
  <c r="H126" i="1"/>
  <c r="F126" i="1"/>
  <c r="E126" i="1"/>
  <c r="H125" i="1"/>
  <c r="F125" i="1"/>
  <c r="E125" i="1"/>
  <c r="H124" i="1"/>
  <c r="F124" i="1"/>
  <c r="E124" i="1"/>
  <c r="H123" i="1"/>
  <c r="F123" i="1"/>
  <c r="E123" i="1"/>
  <c r="H122" i="1"/>
  <c r="F122" i="1"/>
  <c r="E122" i="1"/>
  <c r="H121" i="1"/>
  <c r="F121" i="1"/>
  <c r="E121" i="1"/>
  <c r="H120" i="1"/>
  <c r="F120" i="1"/>
  <c r="E120" i="1"/>
  <c r="H119" i="1"/>
  <c r="F119" i="1"/>
  <c r="E119" i="1"/>
  <c r="H118" i="1"/>
  <c r="F118" i="1"/>
  <c r="E118" i="1"/>
  <c r="H117" i="1"/>
  <c r="F117" i="1"/>
  <c r="E117" i="1"/>
  <c r="H116" i="1"/>
  <c r="F116" i="1"/>
  <c r="E116" i="1"/>
  <c r="H115" i="1"/>
  <c r="F115" i="1"/>
  <c r="E115" i="1"/>
  <c r="H114" i="1"/>
  <c r="F114" i="1"/>
  <c r="E114" i="1"/>
  <c r="H113" i="1"/>
  <c r="F113" i="1"/>
  <c r="E113" i="1"/>
  <c r="H112" i="1"/>
  <c r="F112" i="1"/>
  <c r="E112" i="1"/>
  <c r="H111" i="1"/>
  <c r="F111" i="1"/>
  <c r="E111" i="1"/>
  <c r="H110" i="1"/>
  <c r="F110" i="1"/>
  <c r="E110" i="1"/>
  <c r="H109" i="1"/>
  <c r="F109" i="1"/>
  <c r="E109" i="1"/>
  <c r="H108" i="1"/>
  <c r="F108" i="1"/>
  <c r="E108" i="1"/>
  <c r="H107" i="1"/>
  <c r="F107" i="1"/>
  <c r="E107" i="1"/>
  <c r="H106" i="1"/>
  <c r="F106" i="1"/>
  <c r="E106" i="1"/>
  <c r="H105" i="1"/>
  <c r="F105" i="1"/>
  <c r="E105" i="1"/>
  <c r="H104" i="1"/>
  <c r="F104" i="1"/>
  <c r="E104" i="1"/>
  <c r="H103" i="1"/>
  <c r="F103" i="1"/>
  <c r="E103" i="1"/>
  <c r="H102" i="1"/>
  <c r="F102" i="1"/>
  <c r="E102" i="1"/>
  <c r="H101" i="1"/>
  <c r="F101" i="1"/>
  <c r="E101" i="1"/>
  <c r="H100" i="1"/>
  <c r="F100" i="1"/>
  <c r="E100" i="1"/>
  <c r="H99" i="1"/>
  <c r="F99" i="1"/>
  <c r="E99" i="1"/>
  <c r="H98" i="1"/>
  <c r="F98" i="1"/>
  <c r="E98" i="1"/>
  <c r="H97" i="1"/>
  <c r="F97" i="1"/>
  <c r="E97" i="1"/>
  <c r="H96" i="1"/>
  <c r="F96" i="1"/>
  <c r="E96" i="1"/>
  <c r="H95" i="1"/>
  <c r="F95" i="1"/>
  <c r="E95" i="1"/>
  <c r="H94" i="1"/>
  <c r="F94" i="1"/>
  <c r="E94" i="1"/>
  <c r="H93" i="1"/>
  <c r="F93" i="1"/>
  <c r="E93" i="1"/>
  <c r="H92" i="1"/>
  <c r="F92" i="1"/>
  <c r="E92" i="1"/>
  <c r="H91" i="1"/>
  <c r="F91" i="1"/>
  <c r="E91" i="1"/>
  <c r="H90" i="1"/>
  <c r="F90" i="1"/>
  <c r="E90" i="1"/>
  <c r="H89" i="1"/>
  <c r="F89" i="1"/>
  <c r="E89" i="1"/>
  <c r="H88" i="1"/>
  <c r="F88" i="1"/>
  <c r="E88" i="1"/>
  <c r="H87" i="1"/>
  <c r="F87" i="1"/>
  <c r="E87" i="1"/>
  <c r="H86" i="1"/>
  <c r="F86" i="1"/>
  <c r="E86" i="1"/>
  <c r="H85" i="1"/>
  <c r="F85" i="1"/>
  <c r="E85" i="1"/>
  <c r="H84" i="1"/>
  <c r="F84" i="1"/>
  <c r="E84" i="1"/>
  <c r="H83" i="1"/>
  <c r="F83" i="1"/>
  <c r="E83" i="1"/>
  <c r="H82" i="1"/>
  <c r="F82" i="1"/>
  <c r="E82" i="1"/>
  <c r="H81" i="1"/>
  <c r="F81" i="1"/>
  <c r="E81" i="1"/>
  <c r="H80" i="1"/>
  <c r="F80" i="1"/>
  <c r="E80" i="1"/>
  <c r="H79" i="1"/>
  <c r="F79" i="1"/>
  <c r="E79" i="1"/>
  <c r="H78" i="1"/>
  <c r="F78" i="1"/>
  <c r="E78" i="1"/>
  <c r="H77" i="1"/>
  <c r="F77" i="1"/>
  <c r="E77" i="1"/>
  <c r="H76" i="1"/>
  <c r="F76" i="1"/>
  <c r="E76" i="1"/>
  <c r="H75" i="1"/>
  <c r="F75" i="1"/>
  <c r="E75" i="1"/>
  <c r="H74" i="1"/>
  <c r="F74" i="1"/>
  <c r="E74" i="1"/>
  <c r="H73" i="1"/>
  <c r="F73" i="1"/>
  <c r="E73" i="1"/>
  <c r="H72" i="1"/>
  <c r="F72" i="1"/>
  <c r="E72" i="1"/>
  <c r="H71" i="1"/>
  <c r="F71" i="1"/>
  <c r="E71" i="1"/>
  <c r="H70" i="1"/>
  <c r="F70" i="1"/>
  <c r="E70" i="1"/>
  <c r="H69" i="1"/>
  <c r="F69" i="1"/>
  <c r="E69" i="1"/>
  <c r="H68" i="1"/>
  <c r="F68" i="1"/>
  <c r="E68" i="1"/>
  <c r="H67" i="1"/>
  <c r="F67" i="1"/>
  <c r="E67" i="1"/>
  <c r="H66" i="1"/>
  <c r="F66" i="1"/>
  <c r="E66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9" i="1"/>
  <c r="F59" i="1"/>
  <c r="E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H52" i="1"/>
  <c r="F52" i="1"/>
  <c r="E52" i="1"/>
  <c r="H51" i="1"/>
  <c r="F51" i="1"/>
  <c r="E51" i="1"/>
  <c r="H50" i="1"/>
  <c r="F50" i="1"/>
  <c r="E50" i="1"/>
  <c r="H49" i="1"/>
  <c r="F49" i="1"/>
  <c r="E49" i="1"/>
  <c r="H48" i="1"/>
  <c r="F48" i="1"/>
  <c r="E48" i="1"/>
  <c r="H47" i="1"/>
  <c r="F47" i="1"/>
  <c r="E47" i="1"/>
  <c r="H46" i="1"/>
  <c r="F46" i="1"/>
  <c r="E46" i="1"/>
  <c r="H45" i="1"/>
  <c r="F45" i="1"/>
  <c r="E45" i="1"/>
  <c r="H44" i="1"/>
  <c r="F44" i="1"/>
  <c r="E44" i="1"/>
  <c r="H43" i="1"/>
  <c r="F43" i="1"/>
  <c r="E43" i="1"/>
  <c r="H42" i="1"/>
  <c r="F42" i="1"/>
  <c r="E42" i="1"/>
  <c r="H41" i="1"/>
  <c r="F41" i="1"/>
  <c r="E41" i="1"/>
  <c r="H40" i="1"/>
  <c r="F40" i="1"/>
  <c r="E40" i="1"/>
  <c r="H39" i="1"/>
  <c r="F39" i="1"/>
  <c r="E39" i="1"/>
  <c r="H38" i="1"/>
  <c r="F38" i="1"/>
  <c r="E38" i="1"/>
  <c r="H37" i="1"/>
  <c r="F37" i="1"/>
  <c r="E37" i="1"/>
  <c r="H36" i="1"/>
  <c r="F36" i="1"/>
  <c r="E36" i="1"/>
  <c r="H35" i="1"/>
  <c r="F35" i="1"/>
  <c r="E35" i="1"/>
  <c r="H34" i="1"/>
  <c r="F34" i="1"/>
  <c r="E34" i="1"/>
  <c r="H33" i="1"/>
  <c r="F33" i="1"/>
  <c r="E33" i="1"/>
  <c r="H32" i="1"/>
  <c r="F32" i="1"/>
  <c r="E32" i="1"/>
  <c r="H31" i="1"/>
  <c r="F31" i="1"/>
  <c r="E31" i="1"/>
  <c r="H30" i="1"/>
  <c r="F30" i="1"/>
  <c r="E30" i="1"/>
  <c r="H29" i="1"/>
  <c r="F29" i="1"/>
  <c r="E29" i="1"/>
  <c r="H28" i="1"/>
  <c r="F28" i="1"/>
  <c r="E28" i="1"/>
  <c r="H27" i="1"/>
  <c r="F27" i="1"/>
  <c r="E27" i="1"/>
  <c r="H26" i="1"/>
  <c r="F26" i="1"/>
  <c r="E26" i="1"/>
  <c r="H25" i="1"/>
  <c r="F25" i="1"/>
  <c r="E25" i="1"/>
  <c r="H24" i="1"/>
  <c r="F24" i="1"/>
  <c r="E24" i="1"/>
  <c r="H23" i="1"/>
  <c r="F23" i="1"/>
  <c r="E23" i="1"/>
  <c r="H22" i="1"/>
  <c r="F22" i="1"/>
  <c r="E22" i="1"/>
  <c r="H21" i="1"/>
  <c r="F21" i="1"/>
  <c r="E21" i="1"/>
  <c r="H20" i="1"/>
  <c r="F20" i="1"/>
  <c r="E20" i="1"/>
  <c r="H19" i="1"/>
  <c r="F19" i="1"/>
  <c r="E19" i="1"/>
  <c r="H18" i="1"/>
  <c r="F18" i="1"/>
  <c r="E18" i="1"/>
  <c r="H17" i="1"/>
  <c r="F17" i="1"/>
  <c r="E17" i="1"/>
  <c r="H16" i="1"/>
  <c r="F16" i="1"/>
  <c r="E16" i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H6" i="1"/>
  <c r="F6" i="1"/>
  <c r="E6" i="1"/>
  <c r="H5" i="1"/>
  <c r="F5" i="1"/>
  <c r="E5" i="1"/>
  <c r="H4" i="1"/>
  <c r="F4" i="1"/>
  <c r="E4" i="1"/>
  <c r="H3" i="1"/>
  <c r="F3" i="1"/>
  <c r="E3" i="1"/>
  <c r="H2" i="1"/>
  <c r="F2" i="1"/>
  <c r="E2" i="1"/>
</calcChain>
</file>

<file path=xl/sharedStrings.xml><?xml version="1.0" encoding="utf-8"?>
<sst xmlns="http://schemas.openxmlformats.org/spreadsheetml/2006/main" count="587" uniqueCount="463">
  <si>
    <t>Name</t>
  </si>
  <si>
    <t>Check #</t>
  </si>
  <si>
    <t>Check Amount</t>
  </si>
  <si>
    <t>Check Date</t>
  </si>
  <si>
    <t>Invoice ID</t>
  </si>
  <si>
    <t>Invoice Desc</t>
  </si>
  <si>
    <t xml:space="preserve">GL Amount </t>
  </si>
  <si>
    <t>GL Description</t>
  </si>
  <si>
    <t>CHRISTINA CANNON</t>
  </si>
  <si>
    <t>973 MATERIALS  LLC</t>
  </si>
  <si>
    <t>A PLUS BAIL BONDS</t>
  </si>
  <si>
    <t>ACE MART RESTAURANT SUPPLY</t>
  </si>
  <si>
    <t>ADAM DAKOTA ROWINS</t>
  </si>
  <si>
    <t>ADENA LEWIS</t>
  </si>
  <si>
    <t>DESIGNPD LLC</t>
  </si>
  <si>
    <t>ALBERT NEAL PFEIFFER</t>
  </si>
  <si>
    <t>1ALL STAR ROLL OFF AND BACKHOE SERVICES LLC</t>
  </si>
  <si>
    <t>AMAZON CAPITAL SERVICES INC</t>
  </si>
  <si>
    <t>AMEENA S. BHAIDANI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</si>
  <si>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</si>
  <si>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</si>
  <si>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</si>
  <si>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</si>
  <si>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</si>
  <si>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ARA / ST.DAVID'S IMAGING  LP</t>
  </si>
  <si>
    <t>ARCHITEXAS - ARCHITECTURE  PLANNING &amp; HISTORIC PRE</t>
  </si>
  <si>
    <t>EXACTBYTE INC</t>
  </si>
  <si>
    <t>AT&amp;T</t>
  </si>
  <si>
    <t>AT&amp;T MOBILITY</t>
  </si>
  <si>
    <t>THE AUBAINE SUPPLY COMPANY  INC</t>
  </si>
  <si>
    <t>AUGUST FORADORY</t>
  </si>
  <si>
    <t>AUSTIN RADIOLOGICAL ASSOC</t>
  </si>
  <si>
    <t>AUSTIN REBUILDERS INC</t>
  </si>
  <si>
    <t>B&amp;M TOWING &amp; RECOVERY L.L.C.</t>
  </si>
  <si>
    <t>MICHAEL OLDHAM TIRE INC</t>
  </si>
  <si>
    <t>EDUARDO BARRIENTOS</t>
  </si>
  <si>
    <t>BASTROP COUNTY SHERIFF'S DEPT</t>
  </si>
  <si>
    <t>DANIEL L HEPKER</t>
  </si>
  <si>
    <t>BASTROP COUNTY CARES</t>
  </si>
  <si>
    <t>BASTROP COUNTY TAX ASSESSOR</t>
  </si>
  <si>
    <t>BASTROP COUNTY SOIL &amp; WATER CONSERVATION DISTRICT</t>
  </si>
  <si>
    <t>BASTROP COUNTY TAX-ASSESSOR</t>
  </si>
  <si>
    <t>BASTROP PROVIDENCE  LLC</t>
  </si>
  <si>
    <t>DAVID H OUTON</t>
  </si>
  <si>
    <t>BEN E KEITH CO.</t>
  </si>
  <si>
    <t>B C FOOD GROUP  LLC</t>
  </si>
  <si>
    <t>BIG CITY CRUSHED CONCRETE  LLC</t>
  </si>
  <si>
    <t>BIG WRENCH ROAD SERVICE INC</t>
  </si>
  <si>
    <t>BIMBO FOODS INC</t>
  </si>
  <si>
    <t>BLANCO COUNTY</t>
  </si>
  <si>
    <t>BLAS J. COY  JR.</t>
  </si>
  <si>
    <t>BLUEBONNET AREA CRIME STOPPERS PROGRAM</t>
  </si>
  <si>
    <t>BLUEBONNET TRAILS MHMR</t>
  </si>
  <si>
    <t>BOBBY BROWN</t>
  </si>
  <si>
    <t>BOEHM TRACTOR SALES INC</t>
  </si>
  <si>
    <t>BOEHRINGER INGELHEIM ANIMAL HEALTH USA INC.</t>
  </si>
  <si>
    <t>BONS BARRICADES  INC</t>
  </si>
  <si>
    <t>BOYS &amp; GIRLS CLUBS OF THE AUSTIN AREA</t>
  </si>
  <si>
    <t>BRAUNTEX MATERIALS INC</t>
  </si>
  <si>
    <t>LAW OFFICE OF BRYAN W. MCDANIEL  P.C.</t>
  </si>
  <si>
    <t>BUREAU OF VITAL STATISTICS</t>
  </si>
  <si>
    <t>BYRON LARKIN</t>
  </si>
  <si>
    <t>CALBRI ROAD &amp; BRIDGE LLC</t>
  </si>
  <si>
    <t>CAMERON JONSE</t>
  </si>
  <si>
    <t>CAPITAL AREA COUNCIL OF GOVERNMENTS</t>
  </si>
  <si>
    <t>CAPITOL BEARING SERVICE OF AUSTIN  INC.</t>
  </si>
  <si>
    <t>CAROLYN DILL</t>
  </si>
  <si>
    <t>CARTER &amp; DENHAM  PLLC</t>
  </si>
  <si>
    <t>CDW GOVERNMENT INC</t>
  </si>
  <si>
    <t>CENTERPOINT ENERGY</t>
  </si>
  <si>
    <t>CHARLES PATNODE</t>
  </si>
  <si>
    <t>CHARLES W CARVER</t>
  </si>
  <si>
    <t>CHARTER COMMUNICATIONS OPERATING  LLC</t>
  </si>
  <si>
    <t>CHRIS MATT DILLON</t>
  </si>
  <si>
    <t>CINTAS</t>
  </si>
  <si>
    <t>CINTAS CORPORATION</t>
  </si>
  <si>
    <t>CITY OF BASTROP</t>
  </si>
  <si>
    <t>CITY OF SMITHVILLE</t>
  </si>
  <si>
    <t>CLIFFORD POWER SYSTEMS INC</t>
  </si>
  <si>
    <t>CLINICAL PATHOLOGY LABORATORIES INC</t>
  </si>
  <si>
    <t>COMAL COUNTY SHERIFF</t>
  </si>
  <si>
    <t>COMMUNITY COFFEE COMPANY LLC</t>
  </si>
  <si>
    <t>CONNECTED NATION  INC.</t>
  </si>
  <si>
    <t>CONOR BROWN</t>
  </si>
  <si>
    <t>CONVERGENCE CABLING  INC.</t>
  </si>
  <si>
    <t>COOPER EQUIPMENT CO.</t>
  </si>
  <si>
    <t>COUNTY JUDGES  EDUCATION FUND</t>
  </si>
  <si>
    <t>COUNTY OF BEXAR - SHERIFF</t>
  </si>
  <si>
    <t>BUTLER ANIMAL HEALTH HOLDING COMPANY  LLC</t>
  </si>
  <si>
    <t>CRAIG WINTER</t>
  </si>
  <si>
    <t>163  09/29/21"</t>
  </si>
  <si>
    <t>DARLON J. SOJAK</t>
  </si>
  <si>
    <t>DAVID B BROOKS</t>
  </si>
  <si>
    <t>DAVID M COLLINS</t>
  </si>
  <si>
    <t>DEAN DAIRY CORPORATE  LLC</t>
  </si>
  <si>
    <t>DELL</t>
  </si>
  <si>
    <t>DENTRUST DENTAL TX PC</t>
  </si>
  <si>
    <t>DIANA DE LA TORRE</t>
  </si>
  <si>
    <t>DICKENS LOCKSMITH INC</t>
  </si>
  <si>
    <t>DISCOUNT DOOR &amp; METAL  LLC</t>
  </si>
  <si>
    <t>DONNIE STARK</t>
  </si>
  <si>
    <t>DOOR CONTROL SERVICES INC</t>
  </si>
  <si>
    <t>DORA HERNANDEZ</t>
  </si>
  <si>
    <t>DOUBLE D INTERNATIONAL FOOD CO.  INC.</t>
  </si>
  <si>
    <t>DOUBLE TUFF TRUCK TARPS INC</t>
  </si>
  <si>
    <t>DUNNE &amp; JUAREZ L.L.C.</t>
  </si>
  <si>
    <t>DAVID MCMULLEN</t>
  </si>
  <si>
    <t>ECOLAB INC</t>
  </si>
  <si>
    <t>ELANCO US INC</t>
  </si>
  <si>
    <t>ELECTION SYSTEMS &amp; SOFTWARE INC</t>
  </si>
  <si>
    <t>COMMUNITY CUPBOARD</t>
  </si>
  <si>
    <t>BLACKLANDS PUBLICATIONS INC</t>
  </si>
  <si>
    <t>ELLIOTT ELECTRIC SUPPLY INC</t>
  </si>
  <si>
    <t>ERGON ASPHALT &amp; EMULSIONS INC</t>
  </si>
  <si>
    <t>ERIN NICKEL</t>
  </si>
  <si>
    <t>EWALD KUBOTA  INC.</t>
  </si>
  <si>
    <t>EZTASK.COM INC.</t>
  </si>
  <si>
    <t>BASTROP COUNTY WOMEN'S SHELTER</t>
  </si>
  <si>
    <t>FEDERAL EXPRESS</t>
  </si>
  <si>
    <t>FERGUSON ENTERPRISES  INC.</t>
  </si>
  <si>
    <t>FIRETROL PROTECTION SYSTEMS  INC.</t>
  </si>
  <si>
    <t>FIRST NATIONAL BANK BASTROP</t>
  </si>
  <si>
    <t>130"</t>
  </si>
  <si>
    <t>FLEETPRIDE</t>
  </si>
  <si>
    <t>4283929 DELAWARE LLC</t>
  </si>
  <si>
    <t>FORREST L. SANDERSON</t>
  </si>
  <si>
    <t>AUSTIN TRUCK AND EQUIPMENT  LTD</t>
  </si>
  <si>
    <t>EUGENE W BRIGGS JR</t>
  </si>
  <si>
    <t>GALLS PARENT HOLDINGS LLC</t>
  </si>
  <si>
    <t>GARMENTS TO GO  INC</t>
  </si>
  <si>
    <t>GRAINGER INC</t>
  </si>
  <si>
    <t>GREG E NORMAN</t>
  </si>
  <si>
    <t>GT DISTRIBUTORS  INC.</t>
  </si>
  <si>
    <t>GULF COAST PAPER CO. INC.</t>
  </si>
  <si>
    <t>H&amp;H OIL  L.P.</t>
  </si>
  <si>
    <t>HEADSETS DIRECT INC.</t>
  </si>
  <si>
    <t>HENGST PRINTING &amp; SUPPLIES</t>
  </si>
  <si>
    <t>BASCOM L HODGES JR</t>
  </si>
  <si>
    <t>HOLLY SCHULZ  CSR  RPR</t>
  </si>
  <si>
    <t>BD HOLT CO</t>
  </si>
  <si>
    <t>CITIBANK (SOUTH DAKOTA)N.A./THE HOME DEPOT</t>
  </si>
  <si>
    <t>NORTHWEST CASCADE INC</t>
  </si>
  <si>
    <t>MARK DUBE</t>
  </si>
  <si>
    <t>GREGORY LUCAS</t>
  </si>
  <si>
    <t>HEAT TRANSFER SOLUTIONS  INC.</t>
  </si>
  <si>
    <t>HYDRAULIC HOUSE INC</t>
  </si>
  <si>
    <t>IDEXX DISTRIBUTION INC</t>
  </si>
  <si>
    <t>INDIGENT HEALTHCARE SOLUTIONS</t>
  </si>
  <si>
    <t>INLAND TRUCK PARTS COMPANY</t>
  </si>
  <si>
    <t>INTERNATIONAL ECONOMIC DEVELOPMENT COUNCIL</t>
  </si>
  <si>
    <t>INTERSTATE BILLING SERVICE INC</t>
  </si>
  <si>
    <t>IRON MOUNTAIN RECORDS MGMT INC</t>
  </si>
  <si>
    <t>JAYCEE DAWSON</t>
  </si>
  <si>
    <t>JENKINS &amp; JENKINS LLP</t>
  </si>
  <si>
    <t>JEREMY MOEHNKE</t>
  </si>
  <si>
    <t>JAMES MORGAN</t>
  </si>
  <si>
    <t>JILL GUNN</t>
  </si>
  <si>
    <t>JOHN R. WILLIFORD</t>
  </si>
  <si>
    <t>JON ETHEREDGE</t>
  </si>
  <si>
    <t>JORDAN BATTERSBY  MCDONALD</t>
  </si>
  <si>
    <t>JUSTIN MATTHEW FOHN</t>
  </si>
  <si>
    <t>KAREN STARKS</t>
  </si>
  <si>
    <t>898  09/20/21"</t>
  </si>
  <si>
    <t>MAX ACOSTA-RUBIO</t>
  </si>
  <si>
    <t>KEN'S BODY SHOP  LLC</t>
  </si>
  <si>
    <t>KENNETH LIMUEL</t>
  </si>
  <si>
    <t>KENT BROUSSARD TOWER RENTAL INC</t>
  </si>
  <si>
    <t>KEVIN UNGER</t>
  </si>
  <si>
    <t>KLEIBER FORD TRACTOR  INC.</t>
  </si>
  <si>
    <t>KNIGHT SECURITY SYSTEMS LLC</t>
  </si>
  <si>
    <t>KOETTER FIRE PROTECTION OF AUSTIN  LLC</t>
  </si>
  <si>
    <t>THE LA GRANGE PARTS HOUSE INC</t>
  </si>
  <si>
    <t>LABATT INSTITUTIONAL SUPPLY CO</t>
  </si>
  <si>
    <t>LAKE COUNTRY CHEVROLET  INC.</t>
  </si>
  <si>
    <t>LAUREN CONCRETE  INC</t>
  </si>
  <si>
    <t>LAW ENFORCEMENT RISK MANAGEMENT GROUP  INC.</t>
  </si>
  <si>
    <t>LUCIO LEAL</t>
  </si>
  <si>
    <t>LEXISNEXIS RISK DATA MGMT INC</t>
  </si>
  <si>
    <t>LISA SMITH</t>
  </si>
  <si>
    <t>LONE STAR CIRCLE OF CARE</t>
  </si>
  <si>
    <t>UNITED KWB COLLABORATIONS LLC</t>
  </si>
  <si>
    <t>LONNIE LAWRENCE DAVIS JR</t>
  </si>
  <si>
    <t>LOST PINES CLEANERS</t>
  </si>
  <si>
    <t>SCOTT BRYANT</t>
  </si>
  <si>
    <t>LOYA'S SEPTIC  LLC</t>
  </si>
  <si>
    <t>MAGIC TOUCH CLEANING SYSTEMS LLC</t>
  </si>
  <si>
    <t>MANATRON  INC</t>
  </si>
  <si>
    <t>MARIA ANFOSSO</t>
  </si>
  <si>
    <t>MARIO GINTELLA</t>
  </si>
  <si>
    <t>MARK MEUTH</t>
  </si>
  <si>
    <t>MARK T. MALONE  M.D. P.A</t>
  </si>
  <si>
    <t>JOHN W GASPARINI INC</t>
  </si>
  <si>
    <t>MARY BETH SCOTT</t>
  </si>
  <si>
    <t>MASCOT METROPOLITAN  INC.</t>
  </si>
  <si>
    <t>MATHESON TRI-GAS INC</t>
  </si>
  <si>
    <t>McCOY'S BUILDING SUPPLY CENTER</t>
  </si>
  <si>
    <t>McCREARY  VESELKA  BRAGG &amp; ALLEN P</t>
  </si>
  <si>
    <t>McKESSON MEDICAL-SURGICAL GOVERNMENT SOLUTIONS LLC</t>
  </si>
  <si>
    <t>MEAGHAN BARNES</t>
  </si>
  <si>
    <t>MEDIMPACT HEALTHCARE SYSTEMS INC</t>
  </si>
  <si>
    <t>MINORITIES FOR EQUALITY IN EMPLOYMENT</t>
  </si>
  <si>
    <t>INTERVET INC</t>
  </si>
  <si>
    <t>MICHELE FRITSCHE C.S.R.</t>
  </si>
  <si>
    <t>MIDTEX MATERIALS</t>
  </si>
  <si>
    <t>SETON ORAL &amp; MAXILLOFACIAL SURGERY</t>
  </si>
  <si>
    <t>ADRIANA MIREYA FLOYD</t>
  </si>
  <si>
    <t>VITO BEN VENUTI</t>
  </si>
  <si>
    <t>AUGUST HENRY BOER JR</t>
  </si>
  <si>
    <t>JOSE VALENTIN GARCIA</t>
  </si>
  <si>
    <t>DEVIN CARTER</t>
  </si>
  <si>
    <t>BRIANN MICHELLE GALLOWAY</t>
  </si>
  <si>
    <t>ARCHIE ADAM BROWN</t>
  </si>
  <si>
    <t>JOSUE ALFARO PEREZ</t>
  </si>
  <si>
    <t>GENESIS LIZBETH MENDOZA</t>
  </si>
  <si>
    <t>WILLIAM SHAWN ABRAHAM</t>
  </si>
  <si>
    <t>NORA HILDA VALADEZ</t>
  </si>
  <si>
    <t>JUDY WHISENHUNT WOODWORTH</t>
  </si>
  <si>
    <t>MATTHEW DANIEL SOUTHARD</t>
  </si>
  <si>
    <t>AMANDA CAROL YOUNG</t>
  </si>
  <si>
    <t>JONATHAN RYAN JUAREZ</t>
  </si>
  <si>
    <t>JENNIFER BROWN BEZNER</t>
  </si>
  <si>
    <t>JAMES ALLEN BAKER</t>
  </si>
  <si>
    <t>ANGELES PUGA</t>
  </si>
  <si>
    <t>LANCE DWAYNE VAILLANCOURT</t>
  </si>
  <si>
    <t>ESTELLE M CALLIGAN</t>
  </si>
  <si>
    <t>MEGAN SUE SHEPHERD</t>
  </si>
  <si>
    <t>MARC ALEXANDER SILVA</t>
  </si>
  <si>
    <t>STEPHANIE APRIL GARZA</t>
  </si>
  <si>
    <t>HEDER GAONA</t>
  </si>
  <si>
    <t>NICOLE LEONE CANTRELL</t>
  </si>
  <si>
    <t>JOSE ANTONIO PACHUCA</t>
  </si>
  <si>
    <t>JORGE ALBERTO CISNEROS</t>
  </si>
  <si>
    <t>JACQUELINE HERNANDEZ</t>
  </si>
  <si>
    <t>TRAVIS WAYNE EARLY</t>
  </si>
  <si>
    <t>CHARLIE ANN JONES-MUTSCHER</t>
  </si>
  <si>
    <t>ANGELA WYNNE RASCO</t>
  </si>
  <si>
    <t>CHRISTINE ELAINE CROSS</t>
  </si>
  <si>
    <t>KARIME CAVAZOS</t>
  </si>
  <si>
    <t>CRISTINA CERDA DRISCOLL</t>
  </si>
  <si>
    <t>STEPHANIE ALVAREZ-COTA</t>
  </si>
  <si>
    <t>DUKE DOUGLAS MUELLER</t>
  </si>
  <si>
    <t>ALEXIS RENEE GOOD-LONEY</t>
  </si>
  <si>
    <t>MICHAEL DAVID ROSS</t>
  </si>
  <si>
    <t>BRANDON COLE BUNKER</t>
  </si>
  <si>
    <t>SERGIO GUTIERREZ</t>
  </si>
  <si>
    <t>ROBERT TODD FELPS</t>
  </si>
  <si>
    <t>KENNETH RANDALL HEAVIN</t>
  </si>
  <si>
    <t>EMILY JEAN HINZE</t>
  </si>
  <si>
    <t>HUGO MARTINEZ HERNANDEZ</t>
  </si>
  <si>
    <t>PAMELA GUTIERREZ-MORENO</t>
  </si>
  <si>
    <t>FRANCISCO CASTILLO RODEA</t>
  </si>
  <si>
    <t>ESMERALDA MARIA RODRIGUEZ</t>
  </si>
  <si>
    <t>SARA ELIZABETH MAYS</t>
  </si>
  <si>
    <t>CHRYSTAL ANN MCLAUGHLIN</t>
  </si>
  <si>
    <t>GEORGE CLIFTON WILKINS</t>
  </si>
  <si>
    <t>ROSARIO LORENA VEGA</t>
  </si>
  <si>
    <t>BRENDA SHERE JOHNSON</t>
  </si>
  <si>
    <t>BRENDA GABRIELA RENDON</t>
  </si>
  <si>
    <t>RUSSELL CROLL PADEN</t>
  </si>
  <si>
    <t>DORIS ALICE GONZALEZ</t>
  </si>
  <si>
    <t>DAVID ALAN DUDLEY</t>
  </si>
  <si>
    <t>BRANDON LEE WOMACK</t>
  </si>
  <si>
    <t>EMILY ROSE BEVERLY CANNON</t>
  </si>
  <si>
    <t>HOLLY LOUISE WEIDKNECHT</t>
  </si>
  <si>
    <t>PATRICIA ANN SHELTON</t>
  </si>
  <si>
    <t>MICHAEL ANTHONY TOPE</t>
  </si>
  <si>
    <t>MICHAELA MARIE VANCE</t>
  </si>
  <si>
    <t>STELLA CUPPS PEASE</t>
  </si>
  <si>
    <t>PAMELA FELIX</t>
  </si>
  <si>
    <t>ELBERT BRADSHAW III</t>
  </si>
  <si>
    <t>SIERRA L HARRIS</t>
  </si>
  <si>
    <t>BRIAN EDWARD CAROL</t>
  </si>
  <si>
    <t>JOANNA LOPEZ</t>
  </si>
  <si>
    <t>JENNIFER MARIE KURTZ</t>
  </si>
  <si>
    <t>JOSHUA CUNNINGHAM</t>
  </si>
  <si>
    <t>REBECCA MARIE BARRON</t>
  </si>
  <si>
    <t>NELLIE DELEON MONTALVO</t>
  </si>
  <si>
    <t>DANIELA LOPEZ</t>
  </si>
  <si>
    <t>WILMA JEAN VEAL</t>
  </si>
  <si>
    <t>ERYN CORISSA HUMPHREY</t>
  </si>
  <si>
    <t>JULIA TORRES</t>
  </si>
  <si>
    <t>ULRIKE K SCHMIDT</t>
  </si>
  <si>
    <t>KOLTAN RAY KELLEY</t>
  </si>
  <si>
    <t>HAYDEN LANE HIRSCH</t>
  </si>
  <si>
    <t>JILL ANN MULDER</t>
  </si>
  <si>
    <t>MOHAMMAD KHAN</t>
  </si>
  <si>
    <t>541  09/13/21"</t>
  </si>
  <si>
    <t>MOISES OR CAROLINE GUERRERO</t>
  </si>
  <si>
    <t>851  09/13/21"</t>
  </si>
  <si>
    <t>MONARCH COIN &amp; SECURITY INC</t>
  </si>
  <si>
    <t>MOTOROLA SOLUTIONS  IN.C</t>
  </si>
  <si>
    <t>EK&amp;R ENTERPRISES  INC</t>
  </si>
  <si>
    <t>NANCY M. LEWIS</t>
  </si>
  <si>
    <t>NATIONAL FOOD GROUP INC</t>
  </si>
  <si>
    <t>NATIONWIDE CAPITAL  LLC</t>
  </si>
  <si>
    <t>NEAFCS</t>
  </si>
  <si>
    <t>NATIONAL EMERGENCY NUMBER ASSOCIATION</t>
  </si>
  <si>
    <t>O'REILLY AUTOMOTIVE  INC.</t>
  </si>
  <si>
    <t>OFFICE DEPOT</t>
  </si>
  <si>
    <t>OMNIBASE SERVICES OF TEXAS LP</t>
  </si>
  <si>
    <t>P SQUARED EMULSION PLANTS  LLC</t>
  </si>
  <si>
    <t>P3Works  LLC</t>
  </si>
  <si>
    <t>PAIGE TRACTORS INC</t>
  </si>
  <si>
    <t>PAPER RETRIEVER OF TEXAS</t>
  </si>
  <si>
    <t>PATHMARK TRAFFIC EQUIPMENT  LLC</t>
  </si>
  <si>
    <t>PATRICK ELECTRIC SERVICE</t>
  </si>
  <si>
    <t>PATTERSON  VETERINARY SUPPLY INC</t>
  </si>
  <si>
    <t>PATTILLO  BROWN &amp; HILL   LLP</t>
  </si>
  <si>
    <t>PAUL GRANADO</t>
  </si>
  <si>
    <t>PECAN STREET LAW OFFICES</t>
  </si>
  <si>
    <t>PERDUE  BRANDON  FIELDER  COLLINS &amp; MOTT LLP</t>
  </si>
  <si>
    <t>PHILIP R DUCLOUX</t>
  </si>
  <si>
    <t>PB PROFESSIONAL SERVICES INC</t>
  </si>
  <si>
    <t>PITNEY BOWES GLOBAL FINANCIAL SERVICES</t>
  </si>
  <si>
    <t>JOHN DEERE FINANCIAL f.s.b.</t>
  </si>
  <si>
    <t>PRAXAIR DISTRIBUTION  INC.</t>
  </si>
  <si>
    <t>PROGRESSIVE - RESTITUTION ACCT</t>
  </si>
  <si>
    <t>181  09/23/21"</t>
  </si>
  <si>
    <t>ELGIN PROVIDENCE LLC</t>
  </si>
  <si>
    <t>THE PUBLIC GROUP LLC</t>
  </si>
  <si>
    <t>PYE-BARKER FIRE &amp; SAFETY LLC</t>
  </si>
  <si>
    <t>RDO EQUIPMENT CO.</t>
  </si>
  <si>
    <t>NESTLE WATERS N AMERICA INC</t>
  </si>
  <si>
    <t>REBECCA STRNAD</t>
  </si>
  <si>
    <t>NRG ENERGY INC</t>
  </si>
  <si>
    <t>REPUBLIC TRUCK SALES   PARTS  &amp; REPAIRS LLC</t>
  </si>
  <si>
    <t>RESERVE ACCOUNT</t>
  </si>
  <si>
    <t>RICOH USA INC</t>
  </si>
  <si>
    <t>CIT TECHNOLOGY FINANCE</t>
  </si>
  <si>
    <t>ROADRUNNER RADIOLOGY EQUIP LLC</t>
  </si>
  <si>
    <t>ROBERT E CANTU M.D. P.A.</t>
  </si>
  <si>
    <t>ROCIC</t>
  </si>
  <si>
    <t>ROCKY ROAD PRINTING</t>
  </si>
  <si>
    <t>ROSE PIETSCH COUNTY CLERK</t>
  </si>
  <si>
    <t>RUSH CHEVROLET LLC</t>
  </si>
  <si>
    <t>RUSH TRUCK CENTERS OF TEXAS  LP</t>
  </si>
  <si>
    <t>SAMES BASTROP FORD INC</t>
  </si>
  <si>
    <t>SAMMY LERMA III MD</t>
  </si>
  <si>
    <t>SETON HEALTHCARE SPONSORED PROJECTS</t>
  </si>
  <si>
    <t>SHARON HANCOCK</t>
  </si>
  <si>
    <t>962  09/21/21"</t>
  </si>
  <si>
    <t>SHI GOVERNMENT SOLUTIONS INC.</t>
  </si>
  <si>
    <t>SHOPPA'S FARM SUPPLY</t>
  </si>
  <si>
    <t>SHRED-IT US HOLDCO  INC</t>
  </si>
  <si>
    <t>RONALD JOHN CALDWELL JR</t>
  </si>
  <si>
    <t>SILSBEE FORD</t>
  </si>
  <si>
    <t>SINGLETON ASSOCIATES  PA</t>
  </si>
  <si>
    <t>SMITH STORES  INC.</t>
  </si>
  <si>
    <t>SMITHVILLE AUTO PARTS  INC</t>
  </si>
  <si>
    <t>SMITHVILLE COMMUNITY CLINIC  INC</t>
  </si>
  <si>
    <t>SMITHVILLE FOOD PANTRY</t>
  </si>
  <si>
    <t>SMITHVILLE VOLUNTEER FIRE DEPT</t>
  </si>
  <si>
    <t>SOUTH CENTRAL PLANNING AND DEVELOPMENT COMMISSION</t>
  </si>
  <si>
    <t>SOUTHERN COMPUTER WAREHOUSE INC</t>
  </si>
  <si>
    <t>SOUTHERN TIRE MART LLC</t>
  </si>
  <si>
    <t>SPECIALTY VETERINARY PHARMACY INC</t>
  </si>
  <si>
    <t>ST DAVID'S HEALTHCARE PARTNERSHIP</t>
  </si>
  <si>
    <t>ST. DAVIDS HEART &amp; VASCULAR  PLLC</t>
  </si>
  <si>
    <t>ST. MARK'S MEDICAL CENTER</t>
  </si>
  <si>
    <t>STAPLES  INC.</t>
  </si>
  <si>
    <t>STATE BAR OF TEXAS</t>
  </si>
  <si>
    <t>TX COMPTROLLER OF PUBLIC ACCOUNTS</t>
  </si>
  <si>
    <t>STATE OF TEXAS</t>
  </si>
  <si>
    <t>STEPHEN A. THORNE  PHD  PLLC</t>
  </si>
  <si>
    <t>STERICYCLE  INC.</t>
  </si>
  <si>
    <t>STEVE GRANADO</t>
  </si>
  <si>
    <t>SUN COAST RESOURCES</t>
  </si>
  <si>
    <t>T4 DISTRIBUTION  LLC</t>
  </si>
  <si>
    <t>TEXAS ASSOCIATION OF ASSESSING OFFICERS</t>
  </si>
  <si>
    <t>TEXAS ASSN OF CONVENTION &amp; VISITORS BUREAU</t>
  </si>
  <si>
    <t>TOTAL ADMINISTRATIVE SERVICES CORPORATION</t>
  </si>
  <si>
    <t>TAVCO SERVICES INC</t>
  </si>
  <si>
    <t>TEXAS COMMISSION ON LAW ENFORCEMENT</t>
  </si>
  <si>
    <t>TEXAS DISTRICT &amp; COUNTY ATTORNEYS ASSOCIATION</t>
  </si>
  <si>
    <t>TEXAS A&amp;M ENGINEERING EXTENSION SERVICE</t>
  </si>
  <si>
    <t>TEJAS ELEVATOR COMPANY</t>
  </si>
  <si>
    <t>TERRILL L FLENNIKEN</t>
  </si>
  <si>
    <t>AIR RELIEF TECHNOLOGIES  INC</t>
  </si>
  <si>
    <t>JOHN J FIETSAM INC</t>
  </si>
  <si>
    <t>TEX-CON OIL CO</t>
  </si>
  <si>
    <t>TEXAS AGGREGATES  LLC</t>
  </si>
  <si>
    <t>TEXAS ASSOCIATES INSURORS AGENCY</t>
  </si>
  <si>
    <t>TEXAS ASSOCIATION OF COUNTIES</t>
  </si>
  <si>
    <t>TEXAS COMMISSION ON ENVIRONMENTAL QUALITY</t>
  </si>
  <si>
    <t>TEXAS CORRECTIONAL FACILITY</t>
  </si>
  <si>
    <t>TEXAS CRUSHED STONE CO.</t>
  </si>
  <si>
    <t>TEXAS DEPT OF PUBLIC SAFETY</t>
  </si>
  <si>
    <t>657"</t>
  </si>
  <si>
    <t>295"</t>
  </si>
  <si>
    <t>TEXAS DISPOSAL SYSTEMS  INC.</t>
  </si>
  <si>
    <t>TEXAS PARKS &amp; WILDLIFE DEPARTMENT</t>
  </si>
  <si>
    <t>JOHN THOMAS GARRETT</t>
  </si>
  <si>
    <t>TEXAS PECOS TRAIL REGION</t>
  </si>
  <si>
    <t>TEXAS VISION CLINIC  PLLC</t>
  </si>
  <si>
    <t>BUG MASTER EXTERMINATING SERVICES  LTD</t>
  </si>
  <si>
    <t>JAMES ANDREW CASEY</t>
  </si>
  <si>
    <t>THE PRODUCT CENTER</t>
  </si>
  <si>
    <t>GEAR MEDICAL LLC</t>
  </si>
  <si>
    <t>WEST PUBLISHING CORPORATION</t>
  </si>
  <si>
    <t>TWE-ADVANCE/NEWHOUSE PARTNERSHIP</t>
  </si>
  <si>
    <t>TRACTOR SUPPLY CREDIT PLAN</t>
  </si>
  <si>
    <t>TRANE</t>
  </si>
  <si>
    <t>TRAVIS COUNTY CONSTABLE PCT 5</t>
  </si>
  <si>
    <t>TRAVIS COUNTY EMERGENCY PHYSICIANS PA</t>
  </si>
  <si>
    <t>TRAVIS COUNTY MEDICAL EXAMINER</t>
  </si>
  <si>
    <t>SETON FAMILY OF DOCTORS</t>
  </si>
  <si>
    <t>TULL FARLEY</t>
  </si>
  <si>
    <t>TVMDL</t>
  </si>
  <si>
    <t>TWISTED WRENCHES FLEET SERVICE LLC</t>
  </si>
  <si>
    <t>TYLER TECHNOLOGIES INC</t>
  </si>
  <si>
    <t>TYRONE L. WASHINGTON</t>
  </si>
  <si>
    <t>ULINE  INC.</t>
  </si>
  <si>
    <t>SETON FAMILY OF HOSPITALS</t>
  </si>
  <si>
    <t>UNITED PARCEL SERVICE</t>
  </si>
  <si>
    <t>U S ANESTHESIA PARTNERS OF TEXAS PA</t>
  </si>
  <si>
    <t>VETERINARY PROVISIONS  INC</t>
  </si>
  <si>
    <t>VISUAL SYSTEMS GROUP</t>
  </si>
  <si>
    <t>TEXAS DEPARTMENT OF STATE HEALTH SERVICES</t>
  </si>
  <si>
    <t>US BANK NA</t>
  </si>
  <si>
    <t>VTX COMMUNICATIONS  LLC</t>
  </si>
  <si>
    <t>WAGEWORKS INC  FSA/HSA</t>
  </si>
  <si>
    <t>WALLER COUNTY ASPHALT INC</t>
  </si>
  <si>
    <t>WASTE MANAGEMENT OF TEXAS  INC</t>
  </si>
  <si>
    <t>WEI-ANN LIN (REIMBURSEMENTS ONLY)</t>
  </si>
  <si>
    <t>WELLS FARGO BANK</t>
  </si>
  <si>
    <t>LEYLA YATIM-ALIN</t>
  </si>
  <si>
    <t>MAO PHARMACY INC</t>
  </si>
  <si>
    <t>WILLIAMSON COUNTY CONSTABLE PCT 3</t>
  </si>
  <si>
    <t>WINZER CORPORATION</t>
  </si>
  <si>
    <t>WJC CONSTRUCTORS SERVICES  LLC</t>
  </si>
  <si>
    <t>YOLANDA WHEATON</t>
  </si>
  <si>
    <t>YVONNE ROCHA</t>
  </si>
  <si>
    <t>ZOETIS US LLC</t>
  </si>
  <si>
    <t>ZOHO CORPORATION</t>
  </si>
  <si>
    <t>304 CONSTRUCTION LLC</t>
  </si>
  <si>
    <t>ARNOLD OIL COMPANY OF AUSTIN LP</t>
  </si>
  <si>
    <t>BASTROP COUNTY PROBATION DEPT</t>
  </si>
  <si>
    <t>BEFCO ENGINEERING INC</t>
  </si>
  <si>
    <t>BRADLEY G LINGOLD</t>
  </si>
  <si>
    <t>CONTECH ENGINEERED SOLUTIONS INC</t>
  </si>
  <si>
    <t>RALPH DAVID GLASS</t>
  </si>
  <si>
    <t>H2O PARTNERS</t>
  </si>
  <si>
    <t>LEE CONSTRUCTION &amp; MAINTENANCE COMPANY</t>
  </si>
  <si>
    <t>ASPHALT  INC.</t>
  </si>
  <si>
    <t>SL PARKER PARTNERSHIP LLC</t>
  </si>
  <si>
    <t>POST OAK HARDWARE  INC.</t>
  </si>
  <si>
    <t>WIND KNOT INCORPORATED</t>
  </si>
  <si>
    <t>ALLSTATE-AMERICAN HERITAGE LIFE INS CO</t>
  </si>
  <si>
    <t>AmWINS Group Benefits  Inc.</t>
  </si>
  <si>
    <t>BASTROP COUNTY ADULT PROBATION</t>
  </si>
  <si>
    <t>COLONIAL LIFE &amp; ACCIDENT INS. CO.</t>
  </si>
  <si>
    <t>GUARDIAN</t>
  </si>
  <si>
    <t>INDIANA STATE CENTRAL COLLECTION UNIT</t>
  </si>
  <si>
    <t>IRS-PAYROLL TAXES</t>
  </si>
  <si>
    <t>GERALD FLORES OLIVO</t>
  </si>
  <si>
    <t>PHI AIR MEDICAL  LLC</t>
  </si>
  <si>
    <t>STERLING HEALTH SERVICES  INC.</t>
  </si>
  <si>
    <t>TAC HEALTH BENEFITS POOL</t>
  </si>
  <si>
    <t>JNT RESOURCE PARTNERS  LP</t>
  </si>
  <si>
    <t>TEXAS ATTY.GENERAL'S OFFICE</t>
  </si>
  <si>
    <t>TEXAS CNTY &amp; DIST RETIREMENT SYS</t>
  </si>
  <si>
    <t>TEXAS LEGAL PROTECTION PLAN INC</t>
  </si>
  <si>
    <t>VOIDS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</si>
</sst>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14" fontId="0" fillId="0" borderId="0" xfId="0" applyNumberFormat="1"/>
    <xf numFmtId="43" fontId="0" fillId="0" borderId="1" xfId="1" applyFon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1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7.140625" bestFit="1" customWidth="1"/>
    <col min="3" max="3" width="16.28515625" style="3" bestFit="1" customWidth="1"/>
    <col min="4" max="4" width="13.140625" bestFit="1" customWidth="1"/>
    <col min="5" max="5" width="21.85546875" bestFit="1" customWidth="1"/>
    <col min="6" max="6" width="36.7109375" bestFit="1" customWidth="1"/>
    <col min="7" max="7" width="15" style="3" bestFit="1" customWidth="1"/>
    <col min="8" max="8" width="36.710937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x14ac:dyDescent="0.25">
      <c r="A2" t="s">
        <v>8</v>
      </c>
      <c r="B2">
        <v>137430</v>
      </c>
      <c r="C2" s="3">
        <v>135</v>
      </c>
      <c r="D2" s="4">
        <v>44494</v>
      </c>
      <c r="E2" t="str">
        <f>"202110156546"</f>
        <v>202110156546</v>
      </c>
      <c r="F2" t="str">
        <f>"REIMBURSE COUPON CODES"</f>
        <v>REIMBURSE COUPON CODES</v>
      </c>
      <c r="G2" s="3">
        <v>135</v>
      </c>
      <c r="H2" t="str">
        <f>"REIMBURSE COUPON CODES"</f>
        <v>REIMBURSE COUPON CODES</v>
      </c>
    </row>
    <row r="3" spans="1:8" x14ac:dyDescent="0.25">
      <c r="A3" t="s">
        <v>9</v>
      </c>
      <c r="B3">
        <v>5179</v>
      </c>
      <c r="C3" s="3">
        <v>3010.77</v>
      </c>
      <c r="D3" s="4">
        <v>44482</v>
      </c>
      <c r="E3" t="str">
        <f>"9725-001-123402"</f>
        <v>9725-001-123402</v>
      </c>
      <c r="F3" t="str">
        <f t="shared" ref="F3:F9" si="0">"ACCT#9725-001/PCT#2"</f>
        <v>ACCT#9725-001/PCT#2</v>
      </c>
      <c r="G3" s="3">
        <v>196.74</v>
      </c>
      <c r="H3" t="str">
        <f t="shared" ref="H3:H9" si="1">"ACCT#9725-001/PCT#2"</f>
        <v>ACCT#9725-001/PCT#2</v>
      </c>
    </row>
    <row r="4" spans="1:8" x14ac:dyDescent="0.25">
      <c r="E4" t="str">
        <f>"9725-001-123426"</f>
        <v>9725-001-123426</v>
      </c>
      <c r="F4" t="str">
        <f t="shared" si="0"/>
        <v>ACCT#9725-001/PCT#2</v>
      </c>
      <c r="G4" s="3">
        <v>422.46</v>
      </c>
      <c r="H4" t="str">
        <f t="shared" si="1"/>
        <v>ACCT#9725-001/PCT#2</v>
      </c>
    </row>
    <row r="5" spans="1:8" x14ac:dyDescent="0.25">
      <c r="E5" t="str">
        <f>"9725-001-123443"</f>
        <v>9725-001-123443</v>
      </c>
      <c r="F5" t="str">
        <f t="shared" si="0"/>
        <v>ACCT#9725-001/PCT#2</v>
      </c>
      <c r="G5" s="3">
        <v>218.61</v>
      </c>
      <c r="H5" t="str">
        <f t="shared" si="1"/>
        <v>ACCT#9725-001/PCT#2</v>
      </c>
    </row>
    <row r="6" spans="1:8" x14ac:dyDescent="0.25">
      <c r="E6" t="str">
        <f>"9725-001-123464"</f>
        <v>9725-001-123464</v>
      </c>
      <c r="F6" t="str">
        <f t="shared" si="0"/>
        <v>ACCT#9725-001/PCT#2</v>
      </c>
      <c r="G6" s="3">
        <v>221.49</v>
      </c>
      <c r="H6" t="str">
        <f t="shared" si="1"/>
        <v>ACCT#9725-001/PCT#2</v>
      </c>
    </row>
    <row r="7" spans="1:8" x14ac:dyDescent="0.25">
      <c r="E7" t="str">
        <f>"9725-001-123486"</f>
        <v>9725-001-123486</v>
      </c>
      <c r="F7" t="str">
        <f t="shared" si="0"/>
        <v>ACCT#9725-001/PCT#2</v>
      </c>
      <c r="G7" s="3">
        <v>677.43</v>
      </c>
      <c r="H7" t="str">
        <f t="shared" si="1"/>
        <v>ACCT#9725-001/PCT#2</v>
      </c>
    </row>
    <row r="8" spans="1:8" x14ac:dyDescent="0.25">
      <c r="E8" t="str">
        <f>"9725-001-123511"</f>
        <v>9725-001-123511</v>
      </c>
      <c r="F8" t="str">
        <f t="shared" si="0"/>
        <v>ACCT#9725-001/PCT#2</v>
      </c>
      <c r="G8" s="3">
        <v>223.56</v>
      </c>
      <c r="H8" t="str">
        <f t="shared" si="1"/>
        <v>ACCT#9725-001/PCT#2</v>
      </c>
    </row>
    <row r="9" spans="1:8" x14ac:dyDescent="0.25">
      <c r="E9" t="str">
        <f>"9725-001-123528"</f>
        <v>9725-001-123528</v>
      </c>
      <c r="F9" t="str">
        <f t="shared" si="0"/>
        <v>ACCT#9725-001/PCT#2</v>
      </c>
      <c r="G9" s="3">
        <v>417.15</v>
      </c>
      <c r="H9" t="str">
        <f t="shared" si="1"/>
        <v>ACCT#9725-001/PCT#2</v>
      </c>
    </row>
    <row r="10" spans="1:8" x14ac:dyDescent="0.25">
      <c r="E10" t="str">
        <f>"9725-001-123545"</f>
        <v>9725-001-123545</v>
      </c>
      <c r="F10" t="str">
        <f>"ACCT#9725-001"</f>
        <v>ACCT#9725-001</v>
      </c>
      <c r="G10" s="3">
        <v>633.33000000000004</v>
      </c>
      <c r="H10" t="str">
        <f>"ACCT#9725-001"</f>
        <v>ACCT#9725-001</v>
      </c>
    </row>
    <row r="11" spans="1:8" x14ac:dyDescent="0.25">
      <c r="A11" t="s">
        <v>9</v>
      </c>
      <c r="B11">
        <v>5257</v>
      </c>
      <c r="C11" s="3">
        <v>4897.13</v>
      </c>
      <c r="D11" s="4">
        <v>44495</v>
      </c>
      <c r="E11" t="str">
        <f>"9725-001-123569"</f>
        <v>9725-001-123569</v>
      </c>
      <c r="F11" t="str">
        <f t="shared" ref="F11:F21" si="2">"ACCT#9725-001/REC BASE/PCT#2"</f>
        <v>ACCT#9725-001/REC BASE/PCT#2</v>
      </c>
      <c r="G11" s="3">
        <v>1124.6400000000001</v>
      </c>
      <c r="H11" t="str">
        <f t="shared" ref="H11:H21" si="3">"ACCT#9725-001/REC BASE/PCT#2"</f>
        <v>ACCT#9725-001/REC BASE/PCT#2</v>
      </c>
    </row>
    <row r="12" spans="1:8" x14ac:dyDescent="0.25">
      <c r="E12" t="str">
        <f>"9725-001-123583"</f>
        <v>9725-001-123583</v>
      </c>
      <c r="F12" t="str">
        <f t="shared" si="2"/>
        <v>ACCT#9725-001/REC BASE/PCT#2</v>
      </c>
      <c r="G12" s="3">
        <v>233.73</v>
      </c>
      <c r="H12" t="str">
        <f t="shared" si="3"/>
        <v>ACCT#9725-001/REC BASE/PCT#2</v>
      </c>
    </row>
    <row r="13" spans="1:8" x14ac:dyDescent="0.25">
      <c r="E13" t="str">
        <f>"9725-001-123598"</f>
        <v>9725-001-123598</v>
      </c>
      <c r="F13" t="str">
        <f t="shared" si="2"/>
        <v>ACCT#9725-001/REC BASE/PCT#2</v>
      </c>
      <c r="G13" s="3">
        <v>441.18</v>
      </c>
      <c r="H13" t="str">
        <f t="shared" si="3"/>
        <v>ACCT#9725-001/REC BASE/PCT#2</v>
      </c>
    </row>
    <row r="14" spans="1:8" x14ac:dyDescent="0.25">
      <c r="E14" t="str">
        <f>"9725-001-123611"</f>
        <v>9725-001-123611</v>
      </c>
      <c r="F14" t="str">
        <f t="shared" si="2"/>
        <v>ACCT#9725-001/REC BASE/PCT#2</v>
      </c>
      <c r="G14" s="3">
        <v>212.94</v>
      </c>
      <c r="H14" t="str">
        <f t="shared" si="3"/>
        <v>ACCT#9725-001/REC BASE/PCT#2</v>
      </c>
    </row>
    <row r="15" spans="1:8" x14ac:dyDescent="0.25">
      <c r="E15" t="str">
        <f>"9725-001-123626"</f>
        <v>9725-001-123626</v>
      </c>
      <c r="F15" t="str">
        <f t="shared" si="2"/>
        <v>ACCT#9725-001/REC BASE/PCT#2</v>
      </c>
      <c r="G15" s="3">
        <v>216.63</v>
      </c>
      <c r="H15" t="str">
        <f t="shared" si="3"/>
        <v>ACCT#9725-001/REC BASE/PCT#2</v>
      </c>
    </row>
    <row r="16" spans="1:8" x14ac:dyDescent="0.25">
      <c r="E16" t="str">
        <f>"9725-001-123641"</f>
        <v>9725-001-123641</v>
      </c>
      <c r="F16" t="str">
        <f t="shared" si="2"/>
        <v>ACCT#9725-001/REC BASE/PCT#2</v>
      </c>
      <c r="G16" s="3">
        <v>240.3</v>
      </c>
      <c r="H16" t="str">
        <f t="shared" si="3"/>
        <v>ACCT#9725-001/REC BASE/PCT#2</v>
      </c>
    </row>
    <row r="17" spans="1:8" x14ac:dyDescent="0.25">
      <c r="E17" t="str">
        <f>"9725-001-123668"</f>
        <v>9725-001-123668</v>
      </c>
      <c r="F17" t="str">
        <f t="shared" si="2"/>
        <v>ACCT#9725-001/REC BASE/PCT#2</v>
      </c>
      <c r="G17" s="3">
        <v>446.49</v>
      </c>
      <c r="H17" t="str">
        <f t="shared" si="3"/>
        <v>ACCT#9725-001/REC BASE/PCT#2</v>
      </c>
    </row>
    <row r="18" spans="1:8" x14ac:dyDescent="0.25">
      <c r="E18" t="str">
        <f>"9725-001-123684"</f>
        <v>9725-001-123684</v>
      </c>
      <c r="F18" t="str">
        <f t="shared" si="2"/>
        <v>ACCT#9725-001/REC BASE/PCT#2</v>
      </c>
      <c r="G18" s="3">
        <v>232.38</v>
      </c>
      <c r="H18" t="str">
        <f t="shared" si="3"/>
        <v>ACCT#9725-001/REC BASE/PCT#2</v>
      </c>
    </row>
    <row r="19" spans="1:8" x14ac:dyDescent="0.25">
      <c r="E19" t="str">
        <f>"9725-001-123703"</f>
        <v>9725-001-123703</v>
      </c>
      <c r="F19" t="str">
        <f t="shared" si="2"/>
        <v>ACCT#9725-001/REC BASE/PCT#2</v>
      </c>
      <c r="G19" s="3">
        <v>662.81</v>
      </c>
      <c r="H19" t="str">
        <f t="shared" si="3"/>
        <v>ACCT#9725-001/REC BASE/PCT#2</v>
      </c>
    </row>
    <row r="20" spans="1:8" x14ac:dyDescent="0.25">
      <c r="E20" t="str">
        <f>"9725-001-123720"</f>
        <v>9725-001-123720</v>
      </c>
      <c r="F20" t="str">
        <f t="shared" si="2"/>
        <v>ACCT#9725-001/REC BASE/PCT#2</v>
      </c>
      <c r="G20" s="3">
        <v>661.95</v>
      </c>
      <c r="H20" t="str">
        <f t="shared" si="3"/>
        <v>ACCT#9725-001/REC BASE/PCT#2</v>
      </c>
    </row>
    <row r="21" spans="1:8" x14ac:dyDescent="0.25">
      <c r="E21" t="str">
        <f>"9725-001-123736"</f>
        <v>9725-001-123736</v>
      </c>
      <c r="F21" t="str">
        <f t="shared" si="2"/>
        <v>ACCT#9725-001/REC BASE/PCT#2</v>
      </c>
      <c r="G21" s="3">
        <v>424.08</v>
      </c>
      <c r="H21" t="str">
        <f t="shared" si="3"/>
        <v>ACCT#9725-001/REC BASE/PCT#2</v>
      </c>
    </row>
    <row r="22" spans="1:8" x14ac:dyDescent="0.25">
      <c r="A22" t="s">
        <v>10</v>
      </c>
      <c r="B22">
        <v>137431</v>
      </c>
      <c r="C22" s="3">
        <v>120</v>
      </c>
      <c r="D22" s="4">
        <v>44494</v>
      </c>
      <c r="E22" t="str">
        <f>"202110156548"</f>
        <v>202110156548</v>
      </c>
      <c r="F22" t="str">
        <f>"REIMBURSE COUPONS"</f>
        <v>REIMBURSE COUPONS</v>
      </c>
      <c r="G22" s="3">
        <v>120</v>
      </c>
      <c r="H22" t="str">
        <f>"REIMBURSE COUPONS"</f>
        <v>REIMBURSE COUPONS</v>
      </c>
    </row>
    <row r="23" spans="1:8" x14ac:dyDescent="0.25">
      <c r="A23" t="s">
        <v>11</v>
      </c>
      <c r="B23">
        <v>5176</v>
      </c>
      <c r="C23" s="3">
        <v>4079.03</v>
      </c>
      <c r="D23" s="4">
        <v>44482</v>
      </c>
      <c r="E23" t="str">
        <f>"200-120518"</f>
        <v>200-120518</v>
      </c>
      <c r="F23" t="str">
        <f>"ACE MART RESTAURANT SUPPLY"</f>
        <v>ACE MART RESTAURANT SUPPLY</v>
      </c>
      <c r="G23" s="3">
        <v>4079.03</v>
      </c>
      <c r="H23" t="str">
        <f>"INV 200-120518"</f>
        <v>INV 200-120518</v>
      </c>
    </row>
    <row r="24" spans="1:8" x14ac:dyDescent="0.25">
      <c r="A24" t="s">
        <v>11</v>
      </c>
      <c r="B24">
        <v>5253</v>
      </c>
      <c r="C24" s="3">
        <v>230.9</v>
      </c>
      <c r="D24" s="4">
        <v>44495</v>
      </c>
      <c r="E24" t="str">
        <f>"210-156062"</f>
        <v>210-156062</v>
      </c>
      <c r="F24" t="str">
        <f>"INV 210-156062"</f>
        <v>INV 210-156062</v>
      </c>
      <c r="G24" s="3">
        <v>230.9</v>
      </c>
      <c r="H24" t="str">
        <f>"INV 210-156062"</f>
        <v>INV 210-156062</v>
      </c>
    </row>
    <row r="25" spans="1:8" x14ac:dyDescent="0.25">
      <c r="A25" t="s">
        <v>12</v>
      </c>
      <c r="B25">
        <v>137204</v>
      </c>
      <c r="C25" s="3">
        <v>1202.5</v>
      </c>
      <c r="D25" s="4">
        <v>44481</v>
      </c>
      <c r="E25" t="str">
        <f>"202110056013"</f>
        <v>202110056013</v>
      </c>
      <c r="F25" t="str">
        <f>"20-20085"</f>
        <v>20-20085</v>
      </c>
      <c r="G25" s="3">
        <v>75</v>
      </c>
      <c r="H25" t="str">
        <f>"20-20085"</f>
        <v>20-20085</v>
      </c>
    </row>
    <row r="26" spans="1:8" x14ac:dyDescent="0.25">
      <c r="E26" t="str">
        <f>"202110056014"</f>
        <v>202110056014</v>
      </c>
      <c r="F26" t="str">
        <f>"21-20905"</f>
        <v>21-20905</v>
      </c>
      <c r="G26" s="3">
        <v>90</v>
      </c>
      <c r="H26" t="str">
        <f>"21-20905"</f>
        <v>21-20905</v>
      </c>
    </row>
    <row r="27" spans="1:8" x14ac:dyDescent="0.25">
      <c r="E27" t="str">
        <f>"202110056015"</f>
        <v>202110056015</v>
      </c>
      <c r="F27" t="str">
        <f>"21-20840"</f>
        <v>21-20840</v>
      </c>
      <c r="G27" s="3">
        <v>90</v>
      </c>
      <c r="H27" t="str">
        <f>"21-20840"</f>
        <v>21-20840</v>
      </c>
    </row>
    <row r="28" spans="1:8" x14ac:dyDescent="0.25">
      <c r="E28" t="str">
        <f>"202110056016"</f>
        <v>202110056016</v>
      </c>
      <c r="F28" t="str">
        <f>"19-20002"</f>
        <v>19-20002</v>
      </c>
      <c r="G28" s="3">
        <v>127.5</v>
      </c>
      <c r="H28" t="str">
        <f>"19-20002"</f>
        <v>19-20002</v>
      </c>
    </row>
    <row r="29" spans="1:8" x14ac:dyDescent="0.25">
      <c r="E29" t="str">
        <f>"202110056017"</f>
        <v>202110056017</v>
      </c>
      <c r="F29" t="str">
        <f>"21-20807"</f>
        <v>21-20807</v>
      </c>
      <c r="G29" s="3">
        <v>52.5</v>
      </c>
      <c r="H29" t="str">
        <f>"21-20807"</f>
        <v>21-20807</v>
      </c>
    </row>
    <row r="30" spans="1:8" x14ac:dyDescent="0.25">
      <c r="E30" t="str">
        <f>"202110056018"</f>
        <v>202110056018</v>
      </c>
      <c r="F30" t="str">
        <f>"21-20542"</f>
        <v>21-20542</v>
      </c>
      <c r="G30" s="3">
        <v>67.5</v>
      </c>
      <c r="H30" t="str">
        <f>"21-20542"</f>
        <v>21-20542</v>
      </c>
    </row>
    <row r="31" spans="1:8" x14ac:dyDescent="0.25">
      <c r="E31" t="str">
        <f>"202110056019"</f>
        <v>202110056019</v>
      </c>
      <c r="F31" t="str">
        <f>"20-20321"</f>
        <v>20-20321</v>
      </c>
      <c r="G31" s="3">
        <v>60</v>
      </c>
      <c r="H31" t="str">
        <f>"20-20321"</f>
        <v>20-20321</v>
      </c>
    </row>
    <row r="32" spans="1:8" x14ac:dyDescent="0.25">
      <c r="E32" t="str">
        <f>"202110056020"</f>
        <v>202110056020</v>
      </c>
      <c r="F32" t="str">
        <f>"21-20845"</f>
        <v>21-20845</v>
      </c>
      <c r="G32" s="3">
        <v>557.5</v>
      </c>
      <c r="H32" t="str">
        <f>"21-20845"</f>
        <v>21-20845</v>
      </c>
    </row>
    <row r="33" spans="1:8" x14ac:dyDescent="0.25">
      <c r="E33" t="str">
        <f>"202110056021"</f>
        <v>202110056021</v>
      </c>
      <c r="F33" t="str">
        <f>"20-20262"</f>
        <v>20-20262</v>
      </c>
      <c r="G33" s="3">
        <v>82.5</v>
      </c>
      <c r="H33" t="str">
        <f>"20-20262"</f>
        <v>20-20262</v>
      </c>
    </row>
    <row r="34" spans="1:8" x14ac:dyDescent="0.25">
      <c r="A34" t="s">
        <v>13</v>
      </c>
      <c r="B34">
        <v>5268</v>
      </c>
      <c r="C34" s="3">
        <v>259.13</v>
      </c>
      <c r="D34" s="4">
        <v>44495</v>
      </c>
      <c r="E34" t="str">
        <f>"202110196601"</f>
        <v>202110196601</v>
      </c>
      <c r="F34" t="str">
        <f>"REIMBURSEMENT-PARKING/MAIL/SH"</f>
        <v>REIMBURSEMENT-PARKING/MAIL/SH</v>
      </c>
      <c r="G34" s="3">
        <v>259.13</v>
      </c>
      <c r="H34" t="str">
        <f>"REIMBURSEMENT-PARKING/MAIL/SH"</f>
        <v>REIMBURSEMENT-PARKING/MAIL/SH</v>
      </c>
    </row>
    <row r="35" spans="1:8" x14ac:dyDescent="0.25">
      <c r="A35" t="s">
        <v>14</v>
      </c>
      <c r="B35">
        <v>137205</v>
      </c>
      <c r="C35" s="3">
        <v>1197</v>
      </c>
      <c r="D35" s="4">
        <v>44481</v>
      </c>
      <c r="E35" t="str">
        <f>"INV-3055"</f>
        <v>INV-3055</v>
      </c>
      <c r="F35" t="str">
        <f>"BASIC SUBSCRIPTION/EMER COMM"</f>
        <v>BASIC SUBSCRIPTION/EMER COMM</v>
      </c>
      <c r="G35" s="3">
        <v>1197</v>
      </c>
      <c r="H35" t="str">
        <f>"BASIC SUBSCRIPTION/EMER COMM"</f>
        <v>BASIC SUBSCRIPTION/EMER COMM</v>
      </c>
    </row>
    <row r="36" spans="1:8" x14ac:dyDescent="0.25">
      <c r="A36" t="s">
        <v>14</v>
      </c>
      <c r="B36">
        <v>137432</v>
      </c>
      <c r="C36" s="3">
        <v>2394</v>
      </c>
      <c r="D36" s="4">
        <v>44494</v>
      </c>
      <c r="E36" t="str">
        <f>"INV-3193"</f>
        <v>INV-3193</v>
      </c>
      <c r="F36" t="str">
        <f>"SUBSCRIPTION/SHERIFF'S OFFICE"</f>
        <v>SUBSCRIPTION/SHERIFF'S OFFICE</v>
      </c>
      <c r="G36" s="3">
        <v>2394</v>
      </c>
      <c r="H36" t="str">
        <f>"SUBSCRIPTION/SHERIFF'S OFFICE"</f>
        <v>SUBSCRIPTION/SHERIFF'S OFFICE</v>
      </c>
    </row>
    <row r="37" spans="1:8" x14ac:dyDescent="0.25">
      <c r="A37" t="s">
        <v>15</v>
      </c>
      <c r="B37">
        <v>5226</v>
      </c>
      <c r="C37" s="3">
        <v>1200</v>
      </c>
      <c r="D37" s="4">
        <v>44482</v>
      </c>
      <c r="E37" t="str">
        <f>"202110056032"</f>
        <v>202110056032</v>
      </c>
      <c r="F37" t="str">
        <f>"17-379"</f>
        <v>17-379</v>
      </c>
      <c r="G37" s="3">
        <v>400</v>
      </c>
      <c r="H37" t="str">
        <f>"17-379"</f>
        <v>17-379</v>
      </c>
    </row>
    <row r="38" spans="1:8" x14ac:dyDescent="0.25">
      <c r="E38" t="str">
        <f>"202110056033"</f>
        <v>202110056033</v>
      </c>
      <c r="F38" t="str">
        <f>"17-265"</f>
        <v>17-265</v>
      </c>
      <c r="G38" s="3">
        <v>400</v>
      </c>
      <c r="H38" t="str">
        <f>"17-265"</f>
        <v>17-265</v>
      </c>
    </row>
    <row r="39" spans="1:8" x14ac:dyDescent="0.25">
      <c r="E39" t="str">
        <f>"202110056034"</f>
        <v>202110056034</v>
      </c>
      <c r="F39" t="str">
        <f>"17432"</f>
        <v>17432</v>
      </c>
      <c r="G39" s="3">
        <v>400</v>
      </c>
      <c r="H39" t="str">
        <f>"17432"</f>
        <v>17432</v>
      </c>
    </row>
    <row r="40" spans="1:8" x14ac:dyDescent="0.25">
      <c r="A40" t="s">
        <v>15</v>
      </c>
      <c r="B40">
        <v>5304</v>
      </c>
      <c r="C40" s="3">
        <v>400</v>
      </c>
      <c r="D40" s="4">
        <v>44495</v>
      </c>
      <c r="E40" t="str">
        <f>"202110146467"</f>
        <v>202110146467</v>
      </c>
      <c r="F40" t="str">
        <f>"17327"</f>
        <v>17327</v>
      </c>
      <c r="G40" s="3">
        <v>400</v>
      </c>
      <c r="H40" t="str">
        <f>"17327"</f>
        <v>17327</v>
      </c>
    </row>
    <row r="41" spans="1:8" x14ac:dyDescent="0.25">
      <c r="A41" t="s">
        <v>16</v>
      </c>
      <c r="B41">
        <v>137433</v>
      </c>
      <c r="C41" s="3">
        <v>2600</v>
      </c>
      <c r="D41" s="4">
        <v>44494</v>
      </c>
      <c r="E41" t="str">
        <f>"4004"</f>
        <v>4004</v>
      </c>
      <c r="F41" t="str">
        <f>"DUMPSTERS PCT2"</f>
        <v>DUMPSTERS PCT2</v>
      </c>
      <c r="G41" s="3">
        <v>2600</v>
      </c>
      <c r="H41" t="str">
        <f>"DUMPSTERS PCT2"</f>
        <v>DUMPSTERS PCT2</v>
      </c>
    </row>
    <row r="42" spans="1:8" x14ac:dyDescent="0.25">
      <c r="A42" t="s">
        <v>17</v>
      </c>
      <c r="B42">
        <v>5203</v>
      </c>
      <c r="C42" s="3">
        <v>1129.8599999999999</v>
      </c>
      <c r="D42" s="4">
        <v>44482</v>
      </c>
      <c r="E42" t="str">
        <f>"17WR-DGVQ-YGJP"</f>
        <v>17WR-DGVQ-YGJP</v>
      </c>
      <c r="F42" t="str">
        <f>"AMAZON CAPITAL SERVICES INC"</f>
        <v>AMAZON CAPITAL SERVICES INC</v>
      </c>
      <c r="G42" s="3">
        <v>16.98</v>
      </c>
      <c r="H42" t="str">
        <f>"INV 17WR-DGVQ-YGJP"</f>
        <v>INV 17WR-DGVQ-YGJP</v>
      </c>
    </row>
    <row r="43" spans="1:8" x14ac:dyDescent="0.25">
      <c r="E43" t="str">
        <f>"1GCX-3NXG-9XG7"</f>
        <v>1GCX-3NXG-9XG7</v>
      </c>
      <c r="F43" t="str">
        <f>"AMAZON CAPITAL SERVICES INC"</f>
        <v>AMAZON CAPITAL SERVICES INC</v>
      </c>
      <c r="G43" s="3">
        <v>18.07</v>
      </c>
      <c r="H43" t="str">
        <f>"INV 1GCX-3NXG-9XG7"</f>
        <v>INV 1GCX-3NXG-9XG7</v>
      </c>
    </row>
    <row r="44" spans="1:8" x14ac:dyDescent="0.25">
      <c r="E44" t="str">
        <f>""</f>
        <v/>
      </c>
      <c r="F44" t="str">
        <f>""</f>
        <v/>
      </c>
      <c r="G44" s="3">
        <v>109.2</v>
      </c>
      <c r="H44" t="str">
        <f>"INV 1F91-7TW9-MHJM"</f>
        <v>INV 1F91-7TW9-MHJM</v>
      </c>
    </row>
    <row r="45" spans="1:8" x14ac:dyDescent="0.25">
      <c r="E45" t="str">
        <f>"1LTW-FLGW-NKKD"</f>
        <v>1LTW-FLGW-NKKD</v>
      </c>
      <c r="F45" t="str">
        <f>"AMAZON CAPITAL SERVICES INC"</f>
        <v>AMAZON CAPITAL SERVICES INC</v>
      </c>
      <c r="G45" s="3">
        <v>27.99</v>
      </c>
      <c r="H45" t="str">
        <f>"INV 1LTW-FLGW-NKKD"</f>
        <v>INV 1LTW-FLGW-NKKD</v>
      </c>
    </row>
    <row r="46" spans="1:8" x14ac:dyDescent="0.25">
      <c r="E46" t="str">
        <f>"1PY3-3P4K-66VV"</f>
        <v>1PY3-3P4K-66VV</v>
      </c>
      <c r="F46" t="str">
        <f>"Amazon Order Const 2"</f>
        <v>Amazon Order Const 2</v>
      </c>
      <c r="G46" s="3">
        <v>108.98</v>
      </c>
      <c r="H46" t="str">
        <f>"1PY3-3P4K-66VV"</f>
        <v>1PY3-3P4K-66VV</v>
      </c>
    </row>
    <row r="47" spans="1:8" x14ac:dyDescent="0.25">
      <c r="E47" t="str">
        <f>"1Q4G-6PKF-W6P7"</f>
        <v>1Q4G-6PKF-W6P7</v>
      </c>
      <c r="F47" t="str">
        <f>"AMAZON CAPITAL SERVICES INC"</f>
        <v>AMAZON CAPITAL SERVICES INC</v>
      </c>
      <c r="G47" s="3">
        <v>120.63</v>
      </c>
      <c r="H47" t="str">
        <f>"INV 1Q4G-6PKF-W6P7"</f>
        <v>INV 1Q4G-6PKF-W6P7</v>
      </c>
    </row>
    <row r="48" spans="1:8" x14ac:dyDescent="0.25">
      <c r="E48" t="str">
        <f>""</f>
        <v/>
      </c>
      <c r="F48" t="str">
        <f>""</f>
        <v/>
      </c>
      <c r="G48" s="3">
        <v>49.99</v>
      </c>
      <c r="H48" t="str">
        <f>"INV 14R9-C4PP-VH91"</f>
        <v>INV 14R9-C4PP-VH91</v>
      </c>
    </row>
    <row r="49" spans="1:8" x14ac:dyDescent="0.25">
      <c r="E49" t="str">
        <f>"1QRR-LPLF-LGQY"</f>
        <v>1QRR-LPLF-LGQY</v>
      </c>
      <c r="F49" t="str">
        <f>"Amazon Chairs SO"</f>
        <v>Amazon Chairs SO</v>
      </c>
      <c r="G49" s="3">
        <v>149.99</v>
      </c>
      <c r="H49" t="str">
        <f>"1QRR-LPLF-LGQY"</f>
        <v>1QRR-LPLF-LGQY</v>
      </c>
    </row>
    <row r="50" spans="1:8" x14ac:dyDescent="0.25">
      <c r="E50" t="str">
        <f>""</f>
        <v/>
      </c>
      <c r="F50" t="str">
        <f>""</f>
        <v/>
      </c>
      <c r="G50" s="3">
        <v>259.99</v>
      </c>
      <c r="H50" t="str">
        <f>"1YWG-149T-D3VC"</f>
        <v>1YWG-149T-D3VC</v>
      </c>
    </row>
    <row r="51" spans="1:8" x14ac:dyDescent="0.25">
      <c r="E51" t="str">
        <f>"1VDD-FJQ4-M61D"</f>
        <v>1VDD-FJQ4-M61D</v>
      </c>
      <c r="F51" t="str">
        <f>"AMAZON CAPITAL SERVICES INC"</f>
        <v>AMAZON CAPITAL SERVICES INC</v>
      </c>
      <c r="G51" s="3">
        <v>223.25</v>
      </c>
      <c r="H51" t="str">
        <f>"INV 1VDD-FJQ4-M61D"</f>
        <v>INV 1VDD-FJQ4-M61D</v>
      </c>
    </row>
    <row r="52" spans="1:8" x14ac:dyDescent="0.25">
      <c r="E52" t="str">
        <f>"26374"</f>
        <v>26374</v>
      </c>
      <c r="F52" t="str">
        <f>"Amazon Wire Clothes Rack"</f>
        <v>Amazon Wire Clothes Rack</v>
      </c>
      <c r="G52" s="3">
        <v>89.58</v>
      </c>
      <c r="H52" t="str">
        <f>"Amazon Wire Clothes Rack"</f>
        <v>Amazon Wire Clothes Rack</v>
      </c>
    </row>
    <row r="53" spans="1:8" x14ac:dyDescent="0.25">
      <c r="E53" t="str">
        <f>""</f>
        <v/>
      </c>
      <c r="F53" t="str">
        <f>""</f>
        <v/>
      </c>
      <c r="G53" s="3">
        <v>-44.79</v>
      </c>
      <c r="H53" t="str">
        <f>"Amazon Wire Clothes Rack"</f>
        <v>Amazon Wire Clothes Rack</v>
      </c>
    </row>
    <row r="54" spans="1:8" x14ac:dyDescent="0.25">
      <c r="A54" t="s">
        <v>17</v>
      </c>
      <c r="B54">
        <v>5281</v>
      </c>
      <c r="C54" s="3">
        <v>2653.8</v>
      </c>
      <c r="D54" s="4">
        <v>44495</v>
      </c>
      <c r="E54" t="str">
        <f>"1GH3-HXVC-NHKD"</f>
        <v>1GH3-HXVC-NHKD</v>
      </c>
      <c r="F54" t="str">
        <f>"Amazon Order"</f>
        <v>Amazon Order</v>
      </c>
      <c r="G54" s="3">
        <v>82.95</v>
      </c>
      <c r="H54" t="str">
        <f>"Kit"</f>
        <v>Kit</v>
      </c>
    </row>
    <row r="55" spans="1:8" x14ac:dyDescent="0.25">
      <c r="E55" t="str">
        <f>"1QQC-FTD1-JNX6"</f>
        <v>1QQC-FTD1-JNX6</v>
      </c>
      <c r="F55" t="str">
        <f>"Amazon Order Pct 4"</f>
        <v>Amazon Order Pct 4</v>
      </c>
      <c r="G55" s="3">
        <v>89.97</v>
      </c>
      <c r="H55" t="str">
        <f>"Award Plaque"</f>
        <v>Award Plaque</v>
      </c>
    </row>
    <row r="56" spans="1:8" x14ac:dyDescent="0.25">
      <c r="E56" t="str">
        <f>"202110206644"</f>
        <v>202110206644</v>
      </c>
      <c r="F56" t="str">
        <f>"Amazon Order"</f>
        <v>Amazon Order</v>
      </c>
      <c r="G56" s="3">
        <v>44.49</v>
      </c>
      <c r="H56" t="str">
        <f>"Yellow Vests"</f>
        <v>Yellow Vests</v>
      </c>
    </row>
    <row r="57" spans="1:8" x14ac:dyDescent="0.25">
      <c r="E57" t="str">
        <f>""</f>
        <v/>
      </c>
      <c r="F57" t="str">
        <f>""</f>
        <v/>
      </c>
      <c r="G57" s="3">
        <v>43.95</v>
      </c>
      <c r="H57" t="str">
        <f>"ReacherGraberYellow"</f>
        <v>ReacherGraberYellow</v>
      </c>
    </row>
    <row r="58" spans="1:8" x14ac:dyDescent="0.25">
      <c r="E58" t="str">
        <f>""</f>
        <v/>
      </c>
      <c r="F58" t="str">
        <f>""</f>
        <v/>
      </c>
      <c r="G58" s="3">
        <v>71.959999999999994</v>
      </c>
      <c r="H58" t="str">
        <f>"ReacherToolGreen"</f>
        <v>ReacherToolGreen</v>
      </c>
    </row>
    <row r="59" spans="1:8" x14ac:dyDescent="0.25">
      <c r="E59" t="str">
        <f>""</f>
        <v/>
      </c>
      <c r="F59" t="str">
        <f>""</f>
        <v/>
      </c>
      <c r="G59" s="3">
        <v>71.959999999999994</v>
      </c>
      <c r="H59" t="str">
        <f>"Reacher Tool Blue"</f>
        <v>Reacher Tool Blue</v>
      </c>
    </row>
    <row r="60" spans="1:8" x14ac:dyDescent="0.25">
      <c r="E60" t="str">
        <f>""</f>
        <v/>
      </c>
      <c r="F60" t="str">
        <f>""</f>
        <v/>
      </c>
      <c r="G60" s="3">
        <v>71.08</v>
      </c>
      <c r="H60" t="str">
        <f>"Reacher Tool Red"</f>
        <v>Reacher Tool Red</v>
      </c>
    </row>
    <row r="61" spans="1:8" x14ac:dyDescent="0.25">
      <c r="E61" t="str">
        <f>""</f>
        <v/>
      </c>
      <c r="F61" t="str">
        <f>""</f>
        <v/>
      </c>
      <c r="G61" s="3">
        <v>9.98</v>
      </c>
      <c r="H61" t="str">
        <f>"LG Gloves"</f>
        <v>LG Gloves</v>
      </c>
    </row>
    <row r="62" spans="1:8" x14ac:dyDescent="0.25">
      <c r="E62" t="str">
        <f>"25825"</f>
        <v>25825</v>
      </c>
      <c r="F62" t="str">
        <f>"AMAZON ORDER"</f>
        <v>AMAZON ORDER</v>
      </c>
      <c r="G62" s="3">
        <v>267.44</v>
      </c>
      <c r="H62" t="str">
        <f>"GLOVES"</f>
        <v>GLOVES</v>
      </c>
    </row>
    <row r="63" spans="1:8" x14ac:dyDescent="0.25">
      <c r="E63" t="str">
        <f>""</f>
        <v/>
      </c>
      <c r="F63" t="str">
        <f>""</f>
        <v/>
      </c>
      <c r="G63" s="3">
        <v>264.95</v>
      </c>
      <c r="H63" t="str">
        <f>"PELICAN"</f>
        <v>PELICAN</v>
      </c>
    </row>
    <row r="64" spans="1:8" x14ac:dyDescent="0.25">
      <c r="E64" t="str">
        <f>"26072"</f>
        <v>26072</v>
      </c>
      <c r="F64" t="str">
        <f>"Amazon PO for SO Re-cut"</f>
        <v>Amazon PO for SO Re-cut</v>
      </c>
      <c r="G64" s="3">
        <v>8.8800000000000008</v>
      </c>
      <c r="H64" t="str">
        <f>"MONEY MARKER"</f>
        <v>MONEY MARKER</v>
      </c>
    </row>
    <row r="65" spans="5:8" x14ac:dyDescent="0.25">
      <c r="E65" t="str">
        <f>""</f>
        <v/>
      </c>
      <c r="F65" t="str">
        <f>""</f>
        <v/>
      </c>
      <c r="G65" s="3">
        <v>12.38</v>
      </c>
      <c r="H65" t="str">
        <f>"SANFORD MEAN ST"</f>
        <v>SANFORD MEAN ST</v>
      </c>
    </row>
    <row r="66" spans="5:8" x14ac:dyDescent="0.25">
      <c r="E66" t="str">
        <f>""</f>
        <v/>
      </c>
      <c r="F66" t="str">
        <f>""</f>
        <v/>
      </c>
      <c r="G66" s="3">
        <v>90.14</v>
      </c>
      <c r="H66" t="str">
        <f>"SHARPIE MEAN ST"</f>
        <v>SHARPIE MEAN ST</v>
      </c>
    </row>
    <row r="67" spans="5:8" x14ac:dyDescent="0.25">
      <c r="E67" t="str">
        <f>""</f>
        <v/>
      </c>
      <c r="F67" t="str">
        <f>""</f>
        <v/>
      </c>
      <c r="G67" s="3">
        <v>15.95</v>
      </c>
      <c r="H67" t="str">
        <f>"IDENTITY THEFT ROLL"</f>
        <v>IDENTITY THEFT ROLL</v>
      </c>
    </row>
    <row r="68" spans="5:8" x14ac:dyDescent="0.25">
      <c r="E68" t="str">
        <f>""</f>
        <v/>
      </c>
      <c r="F68" t="str">
        <f>""</f>
        <v/>
      </c>
      <c r="G68" s="3">
        <v>468</v>
      </c>
      <c r="H68" t="str">
        <f>"THERMAL TREANFER"</f>
        <v>THERMAL TREANFER</v>
      </c>
    </row>
    <row r="69" spans="5:8" x14ac:dyDescent="0.25">
      <c r="E69" t="str">
        <f>""</f>
        <v/>
      </c>
      <c r="F69" t="str">
        <f>""</f>
        <v/>
      </c>
      <c r="G69" s="3">
        <v>87</v>
      </c>
      <c r="H69" t="str">
        <f>"ZEBRA HIGH PERFORM"</f>
        <v>ZEBRA HIGH PERFORM</v>
      </c>
    </row>
    <row r="70" spans="5:8" x14ac:dyDescent="0.25">
      <c r="E70" t="str">
        <f>""</f>
        <v/>
      </c>
      <c r="F70" t="str">
        <f>""</f>
        <v/>
      </c>
      <c r="G70" s="3">
        <v>-468</v>
      </c>
      <c r="H70" t="str">
        <f>"ITEM#5 CREDIT MEMO"</f>
        <v>ITEM#5 CREDIT MEMO</v>
      </c>
    </row>
    <row r="71" spans="5:8" x14ac:dyDescent="0.25">
      <c r="E71" t="str">
        <f>""</f>
        <v/>
      </c>
      <c r="F71" t="str">
        <f>""</f>
        <v/>
      </c>
      <c r="G71" s="3">
        <v>-87</v>
      </c>
      <c r="H71" t="str">
        <f>"ITEM#6 CREDIT MEMO"</f>
        <v>ITEM#6 CREDIT MEMO</v>
      </c>
    </row>
    <row r="72" spans="5:8" x14ac:dyDescent="0.25">
      <c r="E72" t="str">
        <f>"26405"</f>
        <v>26405</v>
      </c>
      <c r="F72" t="str">
        <f>"Amazon Paper Towels"</f>
        <v>Amazon Paper Towels</v>
      </c>
      <c r="G72" s="3">
        <v>49.95</v>
      </c>
      <c r="H72" t="str">
        <f>"Amazon Paper Towels"</f>
        <v>Amazon Paper Towels</v>
      </c>
    </row>
    <row r="73" spans="5:8" x14ac:dyDescent="0.25">
      <c r="E73" t="str">
        <f>"26444"</f>
        <v>26444</v>
      </c>
      <c r="F73" t="str">
        <f>"AMAZON ORDER OEM"</f>
        <v>AMAZON ORDER OEM</v>
      </c>
      <c r="G73" s="3">
        <v>99.99</v>
      </c>
      <c r="H73" t="str">
        <f>"DIGITAL CLOCK"</f>
        <v>DIGITAL CLOCK</v>
      </c>
    </row>
    <row r="74" spans="5:8" x14ac:dyDescent="0.25">
      <c r="E74" t="str">
        <f>""</f>
        <v/>
      </c>
      <c r="F74" t="str">
        <f>""</f>
        <v/>
      </c>
      <c r="G74" s="3">
        <v>67.87</v>
      </c>
      <c r="H74" t="str">
        <f>"GRAY COMPARTMENT"</f>
        <v>GRAY COMPARTMENT</v>
      </c>
    </row>
    <row r="75" spans="5:8" x14ac:dyDescent="0.25">
      <c r="E75" t="str">
        <f>"26461"</f>
        <v>26461</v>
      </c>
      <c r="F75" t="str">
        <f>"32GB USB Drives JP4"</f>
        <v>32GB USB Drives JP4</v>
      </c>
      <c r="G75" s="3">
        <v>63.76</v>
      </c>
      <c r="H75" t="str">
        <f>"32GB USB Drives JP4"</f>
        <v>32GB USB Drives JP4</v>
      </c>
    </row>
    <row r="76" spans="5:8" x14ac:dyDescent="0.25">
      <c r="E76" t="str">
        <f>"26574"</f>
        <v>26574</v>
      </c>
      <c r="F76" t="str">
        <f>"Amazon Batteries IT"</f>
        <v>Amazon Batteries IT</v>
      </c>
      <c r="G76" s="3">
        <v>7.98</v>
      </c>
      <c r="H76" t="str">
        <f>"Energizer AAA"</f>
        <v>Energizer AAA</v>
      </c>
    </row>
    <row r="77" spans="5:8" x14ac:dyDescent="0.25">
      <c r="E77" t="str">
        <f>""</f>
        <v/>
      </c>
      <c r="F77" t="str">
        <f>""</f>
        <v/>
      </c>
      <c r="G77" s="3">
        <v>5.79</v>
      </c>
      <c r="H77" t="str">
        <f>"Energizer Watch Bat"</f>
        <v>Energizer Watch Bat</v>
      </c>
    </row>
    <row r="78" spans="5:8" x14ac:dyDescent="0.25">
      <c r="E78" t="str">
        <f>""</f>
        <v/>
      </c>
      <c r="F78" t="str">
        <f>""</f>
        <v/>
      </c>
      <c r="G78" s="3">
        <v>5.99</v>
      </c>
      <c r="H78" t="str">
        <f>"Shipping Cost"</f>
        <v>Shipping Cost</v>
      </c>
    </row>
    <row r="79" spans="5:8" x14ac:dyDescent="0.25">
      <c r="E79" t="str">
        <f>"26595"</f>
        <v>26595</v>
      </c>
      <c r="F79" t="str">
        <f>"Amazon Order"</f>
        <v>Amazon Order</v>
      </c>
      <c r="G79" s="3">
        <v>280.5</v>
      </c>
      <c r="H79" t="str">
        <f>"Appointment Books"</f>
        <v>Appointment Books</v>
      </c>
    </row>
    <row r="80" spans="5:8" x14ac:dyDescent="0.25">
      <c r="E80" t="str">
        <f>"26698"</f>
        <v>26698</v>
      </c>
      <c r="F80" t="str">
        <f>"Amazon Flash Drives"</f>
        <v>Amazon Flash Drives</v>
      </c>
      <c r="G80" s="3">
        <v>27.5</v>
      </c>
      <c r="H80" t="str">
        <f>"SanDisk Cruzer"</f>
        <v>SanDisk Cruzer</v>
      </c>
    </row>
    <row r="81" spans="1:8" x14ac:dyDescent="0.25">
      <c r="E81" t="str">
        <f>""</f>
        <v/>
      </c>
      <c r="F81" t="str">
        <f>""</f>
        <v/>
      </c>
      <c r="G81" s="3">
        <v>603</v>
      </c>
      <c r="H81" t="str">
        <f>"Corsair CMFSS3B-256G"</f>
        <v>Corsair CMFSS3B-256G</v>
      </c>
    </row>
    <row r="82" spans="1:8" x14ac:dyDescent="0.25">
      <c r="E82" t="str">
        <f>""</f>
        <v/>
      </c>
      <c r="F82" t="str">
        <f>""</f>
        <v/>
      </c>
      <c r="G82" s="3">
        <v>269.89999999999998</v>
      </c>
      <c r="H82" t="str">
        <f>"GorillaDrive 3.0"</f>
        <v>GorillaDrive 3.0</v>
      </c>
    </row>
    <row r="83" spans="1:8" x14ac:dyDescent="0.25">
      <c r="E83" t="str">
        <f>"26833"</f>
        <v>26833</v>
      </c>
      <c r="F83" t="str">
        <f>"Amazon Keyboard &amp; mouse"</f>
        <v>Amazon Keyboard &amp; mouse</v>
      </c>
      <c r="G83" s="3">
        <v>25.49</v>
      </c>
      <c r="H83" t="str">
        <f>"Amazon Keyboard &amp; mouse"</f>
        <v>Amazon Keyboard &amp; mouse</v>
      </c>
    </row>
    <row r="84" spans="1:8" x14ac:dyDescent="0.25">
      <c r="A84" t="s">
        <v>18</v>
      </c>
      <c r="B84">
        <v>137434</v>
      </c>
      <c r="C84" s="3">
        <v>75</v>
      </c>
      <c r="D84" s="4">
        <v>44494</v>
      </c>
      <c r="E84" t="str">
        <f>"202110156549"</f>
        <v>202110156549</v>
      </c>
      <c r="F84" t="str">
        <f>"REFUND SERVICE FEE"</f>
        <v>REFUND SERVICE FEE</v>
      </c>
      <c r="G84" s="3">
        <v>14.88</v>
      </c>
      <c r="H84" t="str">
        <f t="shared" ref="H84:H89" si="4">"REFUND SERVICE FEE"</f>
        <v>REFUND SERVICE FEE</v>
      </c>
    </row>
    <row r="85" spans="1:8" x14ac:dyDescent="0.25">
      <c r="E85" t="str">
        <f>""</f>
        <v/>
      </c>
      <c r="F85" t="str">
        <f>""</f>
        <v/>
      </c>
      <c r="G85" s="3">
        <v>44.64</v>
      </c>
      <c r="H85" t="str">
        <f t="shared" si="4"/>
        <v>REFUND SERVICE FEE</v>
      </c>
    </row>
    <row r="86" spans="1:8" x14ac:dyDescent="0.25">
      <c r="E86" t="str">
        <f>""</f>
        <v/>
      </c>
      <c r="F86" t="str">
        <f>""</f>
        <v/>
      </c>
      <c r="G86" s="3">
        <v>2.98</v>
      </c>
      <c r="H86" t="str">
        <f t="shared" si="4"/>
        <v>REFUND SERVICE FEE</v>
      </c>
    </row>
    <row r="87" spans="1:8" x14ac:dyDescent="0.25">
      <c r="E87" t="str">
        <f>""</f>
        <v/>
      </c>
      <c r="F87" t="str">
        <f>""</f>
        <v/>
      </c>
      <c r="G87" s="3">
        <v>3.57</v>
      </c>
      <c r="H87" t="str">
        <f t="shared" si="4"/>
        <v>REFUND SERVICE FEE</v>
      </c>
    </row>
    <row r="88" spans="1:8" x14ac:dyDescent="0.25">
      <c r="E88" t="str">
        <f>""</f>
        <v/>
      </c>
      <c r="F88" t="str">
        <f>""</f>
        <v/>
      </c>
      <c r="G88" s="3">
        <v>5.95</v>
      </c>
      <c r="H88" t="str">
        <f t="shared" si="4"/>
        <v>REFUND SERVICE FEE</v>
      </c>
    </row>
    <row r="89" spans="1:8" x14ac:dyDescent="0.25">
      <c r="E89" t="str">
        <f>""</f>
        <v/>
      </c>
      <c r="F89" t="str">
        <f>""</f>
        <v/>
      </c>
      <c r="G89" s="3">
        <v>2.98</v>
      </c>
      <c r="H89" t="str">
        <f t="shared" si="4"/>
        <v>REFUND SERVICE FEE</v>
      </c>
    </row>
    <row r="90" spans="1:8" x14ac:dyDescent="0.25">
      <c r="A90" t="s">
        <v>19</v>
      </c>
      <c r="B90">
        <v>137206</v>
      </c>
      <c r="C90" s="3">
        <v>750</v>
      </c>
      <c r="D90" s="4">
        <v>44481</v>
      </c>
      <c r="E90" t="str">
        <f>"114318"</f>
        <v>114318</v>
      </c>
      <c r="F90" t="str">
        <f>"2 PANEL ADRESS CARDS/ELECTIONS"</f>
        <v>2 PANEL ADRESS CARDS/ELECTIONS</v>
      </c>
      <c r="G90" s="3">
        <v>750</v>
      </c>
      <c r="H90" t="str">
        <f>"2 PANEL ADRESS CARDS/ELECTIONS"</f>
        <v>2 PANEL ADRESS CARDS/ELECTIONS</v>
      </c>
    </row>
    <row r="91" spans="1:8" x14ac:dyDescent="0.25">
      <c r="A91" t="s">
        <v>19</v>
      </c>
      <c r="B91">
        <v>137435</v>
      </c>
      <c r="C91" s="3">
        <v>7586.16</v>
      </c>
      <c r="D91" s="4">
        <v>44494</v>
      </c>
      <c r="E91" t="str">
        <f>"114391"</f>
        <v>114391</v>
      </c>
      <c r="F91" t="str">
        <f>"2021 ELECTION PC NOV"</f>
        <v>2021 ELECTION PC NOV</v>
      </c>
      <c r="G91" s="3">
        <v>7586.16</v>
      </c>
      <c r="H91" t="str">
        <f>"2021 ELECTION PC NOV"</f>
        <v>2021 ELECTION PC NOV</v>
      </c>
    </row>
    <row r="92" spans="1:8" x14ac:dyDescent="0.25">
      <c r="A92" t="s">
        <v>20</v>
      </c>
      <c r="B92">
        <v>5239</v>
      </c>
      <c r="C92" s="3">
        <v>3100</v>
      </c>
      <c r="D92" s="4">
        <v>44482</v>
      </c>
      <c r="E92" t="str">
        <f>"202110056058"</f>
        <v>202110056058</v>
      </c>
      <c r="F92" t="str">
        <f>"423-7494"</f>
        <v>423-7494</v>
      </c>
      <c r="G92" s="3">
        <v>300</v>
      </c>
      <c r="H92" t="str">
        <f>"423-7494"</f>
        <v>423-7494</v>
      </c>
    </row>
    <row r="93" spans="1:8" x14ac:dyDescent="0.25">
      <c r="E93" t="str">
        <f>"202110056059"</f>
        <v>202110056059</v>
      </c>
      <c r="F93" t="str">
        <f>"17-149"</f>
        <v>17-149</v>
      </c>
      <c r="G93" s="3">
        <v>400</v>
      </c>
      <c r="H93" t="str">
        <f>"17-149"</f>
        <v>17-149</v>
      </c>
    </row>
    <row r="94" spans="1:8" x14ac:dyDescent="0.25">
      <c r="E94" t="str">
        <f>"202110056060"</f>
        <v>202110056060</v>
      </c>
      <c r="F94" t="str">
        <f>"17-225"</f>
        <v>17-225</v>
      </c>
      <c r="G94" s="3">
        <v>400</v>
      </c>
      <c r="H94" t="str">
        <f>"17-225"</f>
        <v>17-225</v>
      </c>
    </row>
    <row r="95" spans="1:8" x14ac:dyDescent="0.25">
      <c r="E95" t="str">
        <f>"202110056061"</f>
        <v>202110056061</v>
      </c>
      <c r="F95" t="str">
        <f>"17-086"</f>
        <v>17-086</v>
      </c>
      <c r="G95" s="3">
        <v>400</v>
      </c>
      <c r="H95" t="str">
        <f>"17-086"</f>
        <v>17-086</v>
      </c>
    </row>
    <row r="96" spans="1:8" x14ac:dyDescent="0.25">
      <c r="E96" t="str">
        <f>"202110056062"</f>
        <v>202110056062</v>
      </c>
      <c r="F96" t="str">
        <f>"16-547 16-546 16-545"</f>
        <v>16-547 16-546 16-545</v>
      </c>
      <c r="G96" s="3">
        <v>800</v>
      </c>
      <c r="H96" t="str">
        <f>"16-547 16-546 16-545"</f>
        <v>16-547 16-546 16-545</v>
      </c>
    </row>
    <row r="97" spans="1:8" x14ac:dyDescent="0.25">
      <c r="E97" t="str">
        <f>"202110056063"</f>
        <v>202110056063</v>
      </c>
      <c r="F97" t="str">
        <f>"17-326"</f>
        <v>17-326</v>
      </c>
      <c r="G97" s="3">
        <v>800</v>
      </c>
      <c r="H97" t="str">
        <f>"17-326"</f>
        <v>17-326</v>
      </c>
    </row>
    <row r="98" spans="1:8" x14ac:dyDescent="0.25">
      <c r="A98" t="s">
        <v>20</v>
      </c>
      <c r="B98">
        <v>5315</v>
      </c>
      <c r="C98" s="3">
        <v>4175</v>
      </c>
      <c r="D98" s="4">
        <v>44495</v>
      </c>
      <c r="E98" t="str">
        <f>"202110146448"</f>
        <v>202110146448</v>
      </c>
      <c r="F98" t="str">
        <f>"1875-21"</f>
        <v>1875-21</v>
      </c>
      <c r="G98" s="3">
        <v>100</v>
      </c>
      <c r="H98" t="str">
        <f>"1875-21"</f>
        <v>1875-21</v>
      </c>
    </row>
    <row r="99" spans="1:8" x14ac:dyDescent="0.25">
      <c r="E99" t="str">
        <f>"202110146451"</f>
        <v>202110146451</v>
      </c>
      <c r="F99" t="str">
        <f>"02-0810-5"</f>
        <v>02-0810-5</v>
      </c>
      <c r="G99" s="3">
        <v>250</v>
      </c>
      <c r="H99" t="str">
        <f>"02-0810-5"</f>
        <v>02-0810-5</v>
      </c>
    </row>
    <row r="100" spans="1:8" x14ac:dyDescent="0.25">
      <c r="E100" t="str">
        <f>"202110146452"</f>
        <v>202110146452</v>
      </c>
      <c r="F100" t="str">
        <f>"4061221-6/ 4061221-7"</f>
        <v>4061221-6/ 4061221-7</v>
      </c>
      <c r="G100" s="3">
        <v>375</v>
      </c>
      <c r="H100" t="str">
        <f>"4061221-6/ 4061221-7"</f>
        <v>4061221-6/ 4061221-7</v>
      </c>
    </row>
    <row r="101" spans="1:8" x14ac:dyDescent="0.25">
      <c r="E101" t="str">
        <f>"202110146453"</f>
        <v>202110146453</v>
      </c>
      <c r="F101" t="str">
        <f>"57 823"</f>
        <v>57 823</v>
      </c>
      <c r="G101" s="3">
        <v>250</v>
      </c>
      <c r="H101" t="str">
        <f>"57 823"</f>
        <v>57 823</v>
      </c>
    </row>
    <row r="102" spans="1:8" x14ac:dyDescent="0.25">
      <c r="E102" t="str">
        <f>"202110146480"</f>
        <v>202110146480</v>
      </c>
      <c r="F102" t="str">
        <f>"1825-335 / 1821-21"</f>
        <v>1825-335 / 1821-21</v>
      </c>
      <c r="G102" s="3">
        <v>200</v>
      </c>
      <c r="H102" t="str">
        <f>"1825-335 / 1821-21"</f>
        <v>1825-335 / 1821-21</v>
      </c>
    </row>
    <row r="103" spans="1:8" x14ac:dyDescent="0.25">
      <c r="E103" t="str">
        <f>"202110146481"</f>
        <v>202110146481</v>
      </c>
      <c r="F103" t="str">
        <f>"17 378"</f>
        <v>17 378</v>
      </c>
      <c r="G103" s="3">
        <v>400</v>
      </c>
      <c r="H103" t="str">
        <f>"17 378"</f>
        <v>17 378</v>
      </c>
    </row>
    <row r="104" spans="1:8" x14ac:dyDescent="0.25">
      <c r="E104" t="str">
        <f>"202110146486"</f>
        <v>202110146486</v>
      </c>
      <c r="F104" t="str">
        <f>"57 833"</f>
        <v>57 833</v>
      </c>
      <c r="G104" s="3">
        <v>250</v>
      </c>
      <c r="H104" t="str">
        <f>"57 833"</f>
        <v>57 833</v>
      </c>
    </row>
    <row r="105" spans="1:8" x14ac:dyDescent="0.25">
      <c r="E105" t="str">
        <f>"202110146487"</f>
        <v>202110146487</v>
      </c>
      <c r="F105" t="str">
        <f>"57 756 DCPC-20-094 DCPC-20-096"</f>
        <v>57 756 DCPC-20-094 DCPC-20-096</v>
      </c>
      <c r="G105" s="3">
        <v>500</v>
      </c>
      <c r="H105" t="str">
        <f>"57 756 DCPC-20-094 DCPC-20-096"</f>
        <v>57 756 DCPC-20-094 DCPC-20-096</v>
      </c>
    </row>
    <row r="106" spans="1:8" x14ac:dyDescent="0.25">
      <c r="E106" t="str">
        <f>"202110156558"</f>
        <v>202110156558</v>
      </c>
      <c r="F106" t="str">
        <f>"4080221-7"</f>
        <v>4080221-7</v>
      </c>
      <c r="G106" s="3">
        <v>250</v>
      </c>
      <c r="H106" t="str">
        <f>"4080221-7"</f>
        <v>4080221-7</v>
      </c>
    </row>
    <row r="107" spans="1:8" x14ac:dyDescent="0.25">
      <c r="E107" t="str">
        <f>"202110156559"</f>
        <v>202110156559</v>
      </c>
      <c r="F107" t="str">
        <f>"17 013  20-01335"</f>
        <v>17 013  20-01335</v>
      </c>
      <c r="G107" s="3">
        <v>600</v>
      </c>
      <c r="H107" t="str">
        <f>"17 013  20-01335"</f>
        <v>17 013  20-01335</v>
      </c>
    </row>
    <row r="108" spans="1:8" x14ac:dyDescent="0.25">
      <c r="E108" t="str">
        <f>"202110156560"</f>
        <v>202110156560</v>
      </c>
      <c r="F108" t="str">
        <f>"17 233"</f>
        <v>17 233</v>
      </c>
      <c r="G108" s="3">
        <v>400</v>
      </c>
      <c r="H108" t="str">
        <f>"17 233"</f>
        <v>17 233</v>
      </c>
    </row>
    <row r="109" spans="1:8" x14ac:dyDescent="0.25">
      <c r="E109" t="str">
        <f>"202110156561"</f>
        <v>202110156561</v>
      </c>
      <c r="F109" t="str">
        <f>"3082020184"</f>
        <v>3082020184</v>
      </c>
      <c r="G109" s="3">
        <v>200</v>
      </c>
      <c r="H109" t="str">
        <f>"3082020184"</f>
        <v>3082020184</v>
      </c>
    </row>
    <row r="110" spans="1:8" x14ac:dyDescent="0.25">
      <c r="E110" t="str">
        <f>"202110156562"</f>
        <v>202110156562</v>
      </c>
      <c r="F110" t="str">
        <f>"02-0820-4"</f>
        <v>02-0820-4</v>
      </c>
      <c r="G110" s="3">
        <v>400</v>
      </c>
      <c r="H110" t="str">
        <f>"02-0820-4"</f>
        <v>02-0820-4</v>
      </c>
    </row>
    <row r="111" spans="1:8" x14ac:dyDescent="0.25">
      <c r="A111" t="s">
        <v>21</v>
      </c>
      <c r="B111">
        <v>137207</v>
      </c>
      <c r="C111" s="3">
        <v>144.74</v>
      </c>
      <c r="D111" s="4">
        <v>44481</v>
      </c>
      <c r="E111" t="str">
        <f>"202110056069"</f>
        <v>202110056069</v>
      </c>
      <c r="F111" t="str">
        <f>"SUPPLIES/PCT#2"</f>
        <v>SUPPLIES/PCT#2</v>
      </c>
      <c r="G111" s="3">
        <v>144.74</v>
      </c>
      <c r="H111" t="str">
        <f>"SUPPLIES/PCT#2"</f>
        <v>SUPPLIES/PCT#2</v>
      </c>
    </row>
    <row r="112" spans="1:8" x14ac:dyDescent="0.25">
      <c r="A112" t="s">
        <v>22</v>
      </c>
      <c r="B112">
        <v>137208</v>
      </c>
      <c r="C112" s="3">
        <v>612</v>
      </c>
      <c r="D112" s="4">
        <v>44481</v>
      </c>
      <c r="E112" t="str">
        <f>"202110045981"</f>
        <v>202110045981</v>
      </c>
      <c r="F112" t="str">
        <f>"ACCT#015476/PURCHASING"</f>
        <v>ACCT#015476/PURCHASING</v>
      </c>
      <c r="G112" s="3">
        <v>19</v>
      </c>
      <c r="H112" t="str">
        <f>"ACCT#015476/PURCHASING"</f>
        <v>ACCT#015476/PURCHASING</v>
      </c>
    </row>
    <row r="113" spans="5:8" x14ac:dyDescent="0.25">
      <c r="E113" t="str">
        <f>"202110045982"</f>
        <v>202110045982</v>
      </c>
      <c r="F113" t="str">
        <f>"ACCT#010238/GENERAL SVCS"</f>
        <v>ACCT#010238/GENERAL SVCS</v>
      </c>
      <c r="G113" s="3">
        <v>54</v>
      </c>
      <c r="H113" t="str">
        <f>"ACCT#010238/GENERAL SVCS"</f>
        <v>ACCT#010238/GENERAL SVCS</v>
      </c>
    </row>
    <row r="114" spans="5:8" x14ac:dyDescent="0.25">
      <c r="E114" t="str">
        <f>"202110045983"</f>
        <v>202110045983</v>
      </c>
      <c r="F114" t="str">
        <f>"ACCT#012231/DIST JUDGE OFFICE"</f>
        <v>ACCT#012231/DIST JUDGE OFFICE</v>
      </c>
      <c r="G114" s="3">
        <v>10</v>
      </c>
      <c r="H114" t="str">
        <f>"ACCT#012231/DIST JUDGE OFFICE"</f>
        <v>ACCT#012231/DIST JUDGE OFFICE</v>
      </c>
    </row>
    <row r="115" spans="5:8" x14ac:dyDescent="0.25">
      <c r="E115" t="str">
        <f>"202110045984"</f>
        <v>202110045984</v>
      </c>
      <c r="F115" t="str">
        <f>"ACCT#011955/DISTRICT JUDGE"</f>
        <v>ACCT#011955/DISTRICT JUDGE</v>
      </c>
      <c r="G115" s="3">
        <v>88.5</v>
      </c>
      <c r="H115" t="str">
        <f>"ACCT#011955/DISTRICT JUDGE"</f>
        <v>ACCT#011955/DISTRICT JUDGE</v>
      </c>
    </row>
    <row r="116" spans="5:8" x14ac:dyDescent="0.25">
      <c r="E116" t="str">
        <f>"202110045985"</f>
        <v>202110045985</v>
      </c>
      <c r="F116" t="str">
        <f>"ACCT#012803/COUNTY JUDGE"</f>
        <v>ACCT#012803/COUNTY JUDGE</v>
      </c>
      <c r="G116" s="3">
        <v>33</v>
      </c>
      <c r="H116" t="str">
        <f>"ACCT#012803/COUNTY JUDGE"</f>
        <v>ACCT#012803/COUNTY JUDGE</v>
      </c>
    </row>
    <row r="117" spans="5:8" x14ac:dyDescent="0.25">
      <c r="E117" t="str">
        <f>"202110045986"</f>
        <v>202110045986</v>
      </c>
      <c r="F117" t="str">
        <f>"ACCT#014877/INDIGENT HEALTH"</f>
        <v>ACCT#014877/INDIGENT HEALTH</v>
      </c>
      <c r="G117" s="3">
        <v>23</v>
      </c>
      <c r="H117" t="str">
        <f>"ACCT#014877/INDIGENT HEALTH"</f>
        <v>ACCT#014877/INDIGENT HEALTH</v>
      </c>
    </row>
    <row r="118" spans="5:8" x14ac:dyDescent="0.25">
      <c r="E118" t="str">
        <f>"202110045987"</f>
        <v>202110045987</v>
      </c>
      <c r="F118" t="str">
        <f>"ACCT#011280/COUNTY CLERK"</f>
        <v>ACCT#011280/COUNTY CLERK</v>
      </c>
      <c r="G118" s="3">
        <v>46.5</v>
      </c>
      <c r="H118" t="str">
        <f>"ACCT#011280/COUNTY CLERK"</f>
        <v>ACCT#011280/COUNTY CLERK</v>
      </c>
    </row>
    <row r="119" spans="5:8" x14ac:dyDescent="0.25">
      <c r="E119" t="str">
        <f>"202110045988"</f>
        <v>202110045988</v>
      </c>
      <c r="F119" t="str">
        <f>"ACCT#010311/COUNTY COURT AT"</f>
        <v>ACCT#010311/COUNTY COURT AT</v>
      </c>
      <c r="G119" s="3">
        <v>9</v>
      </c>
      <c r="H119" t="str">
        <f>"ACCT#010311/COUNTY COURT AT"</f>
        <v>ACCT#010311/COUNTY COURT AT</v>
      </c>
    </row>
    <row r="120" spans="5:8" x14ac:dyDescent="0.25">
      <c r="E120" t="str">
        <f>"202110045989"</f>
        <v>202110045989</v>
      </c>
      <c r="F120" t="str">
        <f>"ACCT#011033/IT DEPT"</f>
        <v>ACCT#011033/IT DEPT</v>
      </c>
      <c r="G120" s="3">
        <v>63</v>
      </c>
      <c r="H120" t="str">
        <f>"ACCT#011033/IT DEPT"</f>
        <v>ACCT#011033/IT DEPT</v>
      </c>
    </row>
    <row r="121" spans="5:8" x14ac:dyDescent="0.25">
      <c r="E121" t="str">
        <f>"202110045990"</f>
        <v>202110045990</v>
      </c>
      <c r="F121" t="str">
        <f>"ACCT#011474/ELECTIONS"</f>
        <v>ACCT#011474/ELECTIONS</v>
      </c>
      <c r="G121" s="3">
        <v>10</v>
      </c>
      <c r="H121" t="str">
        <f>"ACCT#011474/ELECTIONS"</f>
        <v>ACCT#011474/ELECTIONS</v>
      </c>
    </row>
    <row r="122" spans="5:8" x14ac:dyDescent="0.25">
      <c r="E122" t="str">
        <f>"202110045991"</f>
        <v>202110045991</v>
      </c>
      <c r="F122" t="str">
        <f>"ACCT#012571/TREASURE"</f>
        <v>ACCT#012571/TREASURE</v>
      </c>
      <c r="G122" s="3">
        <v>9</v>
      </c>
      <c r="H122" t="str">
        <f>"ACCT#012571/TREASURE"</f>
        <v>ACCT#012571/TREASURE</v>
      </c>
    </row>
    <row r="123" spans="5:8" x14ac:dyDescent="0.25">
      <c r="E123" t="str">
        <f>"202110045992"</f>
        <v>202110045992</v>
      </c>
      <c r="F123" t="str">
        <f>"ACCT#012259/DISTRICT CLERK"</f>
        <v>ACCT#012259/DISTRICT CLERK</v>
      </c>
      <c r="G123" s="3">
        <v>46.5</v>
      </c>
      <c r="H123" t="str">
        <f>"ACCT#012259/DISTRICT CLERK"</f>
        <v>ACCT#012259/DISTRICT CLERK</v>
      </c>
    </row>
    <row r="124" spans="5:8" x14ac:dyDescent="0.25">
      <c r="E124" t="str">
        <f>"202110056084"</f>
        <v>202110056084</v>
      </c>
      <c r="F124" t="str">
        <f>"ACCT#014737/ANIMAL SERVICE"</f>
        <v>ACCT#014737/ANIMAL SERVICE</v>
      </c>
      <c r="G124" s="3">
        <v>90</v>
      </c>
      <c r="H124" t="str">
        <f>"ACCT#014737/ANIMAL SERVICE"</f>
        <v>ACCT#014737/ANIMAL SERVICE</v>
      </c>
    </row>
    <row r="125" spans="5:8" x14ac:dyDescent="0.25">
      <c r="E125" t="str">
        <f>"202110056085"</f>
        <v>202110056085</v>
      </c>
      <c r="F125" t="str">
        <f>"ACCT#015199/JP#1"</f>
        <v>ACCT#015199/JP#1</v>
      </c>
      <c r="G125" s="3">
        <v>9</v>
      </c>
      <c r="H125" t="str">
        <f>"ACCT#015199/JP#1"</f>
        <v>ACCT#015199/JP#1</v>
      </c>
    </row>
    <row r="126" spans="5:8" x14ac:dyDescent="0.25">
      <c r="E126" t="str">
        <f>"202110056087"</f>
        <v>202110056087</v>
      </c>
      <c r="F126" t="str">
        <f>"ACCT#010602/COMMISSIONER OFF"</f>
        <v>ACCT#010602/COMMISSIONER OFF</v>
      </c>
      <c r="G126" s="3">
        <v>24</v>
      </c>
      <c r="H126" t="str">
        <f>"ACCT#010602/COMMISSIONER OFF"</f>
        <v>ACCT#010602/COMMISSIONER OFF</v>
      </c>
    </row>
    <row r="127" spans="5:8" x14ac:dyDescent="0.25">
      <c r="E127" t="str">
        <f>"202110066091"</f>
        <v>202110066091</v>
      </c>
      <c r="F127" t="str">
        <f>"ACCT#010835/PCT#1"</f>
        <v>ACCT#010835/PCT#1</v>
      </c>
      <c r="G127" s="3">
        <v>28</v>
      </c>
      <c r="H127" t="str">
        <f>"ACCT#010835/PCT#1"</f>
        <v>ACCT#010835/PCT#1</v>
      </c>
    </row>
    <row r="128" spans="5:8" x14ac:dyDescent="0.25">
      <c r="E128" t="str">
        <f>"202110066113"</f>
        <v>202110066113</v>
      </c>
      <c r="F128" t="str">
        <f>"ACCT#013393/HUMAN REC"</f>
        <v>ACCT#013393/HUMAN REC</v>
      </c>
      <c r="G128" s="3">
        <v>49.5</v>
      </c>
      <c r="H128" t="str">
        <f>"ACCT#013393/HUMAN REC"</f>
        <v>ACCT#013393/HUMAN REC</v>
      </c>
    </row>
    <row r="129" spans="1:8" x14ac:dyDescent="0.25">
      <c r="A129" t="s">
        <v>23</v>
      </c>
      <c r="B129">
        <v>137190</v>
      </c>
      <c r="C129" s="3">
        <v>1262.1099999999999</v>
      </c>
      <c r="D129" s="4">
        <v>44470</v>
      </c>
      <c r="E129" t="str">
        <f>"202110015955"</f>
        <v>202110015955</v>
      </c>
      <c r="F129" t="str">
        <f>"ACCT#0102120801 / 09022021"</f>
        <v>ACCT#0102120801 / 09022021</v>
      </c>
      <c r="G129" s="3">
        <v>90.42</v>
      </c>
      <c r="H129" t="str">
        <f>"ACCT#0102120801 / 09022021"</f>
        <v>ACCT#0102120801 / 09022021</v>
      </c>
    </row>
    <row r="130" spans="1:8" x14ac:dyDescent="0.25">
      <c r="E130" t="str">
        <f>"202110015956"</f>
        <v>202110015956</v>
      </c>
      <c r="F130" t="str">
        <f>"ACCT#0400785803 / 09022021"</f>
        <v>ACCT#0400785803 / 09022021</v>
      </c>
      <c r="G130" s="3">
        <v>404.48</v>
      </c>
      <c r="H130" t="str">
        <f>"AQUA WATER SUPPLY CORPORATION"</f>
        <v>AQUA WATER SUPPLY CORPORATION</v>
      </c>
    </row>
    <row r="131" spans="1:8" x14ac:dyDescent="0.25">
      <c r="E131" t="str">
        <f>"202110015957"</f>
        <v>202110015957</v>
      </c>
      <c r="F131" t="str">
        <f>"ACCT#0401408501 / 09022021"</f>
        <v>ACCT#0401408501 / 09022021</v>
      </c>
      <c r="G131" s="3">
        <v>673.31</v>
      </c>
      <c r="H131" t="str">
        <f>"ACCT#0401408501 / 09022021"</f>
        <v>ACCT#0401408501 / 09022021</v>
      </c>
    </row>
    <row r="132" spans="1:8" x14ac:dyDescent="0.25">
      <c r="E132" t="str">
        <f>"202110015958"</f>
        <v>202110015958</v>
      </c>
      <c r="F132" t="str">
        <f>"ACCT#0800042801 / 09022021"</f>
        <v>ACCT#0800042801 / 09022021</v>
      </c>
      <c r="G132" s="3">
        <v>58.17</v>
      </c>
      <c r="H132" t="str">
        <f>"AQUA WATER SUPPLY CORPORATION"</f>
        <v>AQUA WATER SUPPLY CORPORATION</v>
      </c>
    </row>
    <row r="133" spans="1:8" x14ac:dyDescent="0.25">
      <c r="E133" t="str">
        <f>"202110015959"</f>
        <v>202110015959</v>
      </c>
      <c r="F133" t="str">
        <f>"ACCT#0802361501 / 09022021"</f>
        <v>ACCT#0802361501 / 09022021</v>
      </c>
      <c r="G133" s="3">
        <v>35.729999999999997</v>
      </c>
      <c r="H133" t="str">
        <f>"AQUA WATER SUPPLY CORPORATION"</f>
        <v>AQUA WATER SUPPLY CORPORATION</v>
      </c>
    </row>
    <row r="134" spans="1:8" x14ac:dyDescent="0.25">
      <c r="A134" t="s">
        <v>23</v>
      </c>
      <c r="B134">
        <v>137436</v>
      </c>
      <c r="C134" s="3">
        <v>1669.72</v>
      </c>
      <c r="D134" s="4">
        <v>44494</v>
      </c>
      <c r="E134" t="str">
        <f>"202110156553"</f>
        <v>202110156553</v>
      </c>
      <c r="F134" t="str">
        <f>"ACCT#7700010025 PCT2"</f>
        <v>ACCT#7700010025 PCT2</v>
      </c>
      <c r="G134" s="3">
        <v>256.25</v>
      </c>
      <c r="H134" t="str">
        <f>"ACCT#7700010025 PCT2"</f>
        <v>ACCT#7700010025 PCT2</v>
      </c>
    </row>
    <row r="135" spans="1:8" x14ac:dyDescent="0.25">
      <c r="E135" t="str">
        <f>"202110156554"</f>
        <v>202110156554</v>
      </c>
      <c r="F135" t="str">
        <f>"ACCT#7700010027/137 LDS/SEPT"</f>
        <v>ACCT#7700010027/137 LDS/SEPT</v>
      </c>
      <c r="G135" s="3">
        <v>1404.25</v>
      </c>
      <c r="H135" t="str">
        <f>"ACCT#7700010027/137 LDS/SEPT"</f>
        <v>ACCT#7700010027/137 LDS/SEPT</v>
      </c>
    </row>
    <row r="136" spans="1:8" x14ac:dyDescent="0.25">
      <c r="E136" t="str">
        <f>"202110196597"</f>
        <v>202110196597</v>
      </c>
      <c r="F136" t="str">
        <f>"ACCT#7700010019/GENERAL SVCS"</f>
        <v>ACCT#7700010019/GENERAL SVCS</v>
      </c>
      <c r="G136" s="3">
        <v>9.2200000000000006</v>
      </c>
      <c r="H136" t="str">
        <f>"ACCT#7700010019/GENERAL SVCS"</f>
        <v>ACCT#7700010019/GENERAL SVCS</v>
      </c>
    </row>
    <row r="137" spans="1:8" x14ac:dyDescent="0.25">
      <c r="A137" t="s">
        <v>23</v>
      </c>
      <c r="B137">
        <v>137582</v>
      </c>
      <c r="C137" s="3">
        <v>1583.86</v>
      </c>
      <c r="D137" s="4">
        <v>44496</v>
      </c>
      <c r="E137" t="str">
        <f>"202110276659"</f>
        <v>202110276659</v>
      </c>
      <c r="F137" t="str">
        <f>"ACCT#0102120801 / 10042021"</f>
        <v>ACCT#0102120801 / 10042021</v>
      </c>
      <c r="G137" s="3">
        <v>229.78</v>
      </c>
      <c r="H137" t="str">
        <f>"ACCT#0102120801 / 10042021"</f>
        <v>ACCT#0102120801 / 10042021</v>
      </c>
    </row>
    <row r="138" spans="1:8" x14ac:dyDescent="0.25">
      <c r="E138" t="str">
        <f>"202110276660"</f>
        <v>202110276660</v>
      </c>
      <c r="F138" t="str">
        <f>"ACCT#0400785803 / 10042021"</f>
        <v>ACCT#0400785803 / 10042021</v>
      </c>
      <c r="G138" s="3">
        <v>499.07</v>
      </c>
      <c r="H138" t="str">
        <f>"AQUA WATER SUPPLY CORPORATION"</f>
        <v>AQUA WATER SUPPLY CORPORATION</v>
      </c>
    </row>
    <row r="139" spans="1:8" x14ac:dyDescent="0.25">
      <c r="E139" t="str">
        <f>"202110276661"</f>
        <v>202110276661</v>
      </c>
      <c r="F139" t="str">
        <f>"ACCT#0401408501 / 10042021"</f>
        <v>ACCT#0401408501 / 10042021</v>
      </c>
      <c r="G139" s="3">
        <v>781.25</v>
      </c>
      <c r="H139" t="str">
        <f>"AQUA WATER SUPPLY CORPORATION"</f>
        <v>AQUA WATER SUPPLY CORPORATION</v>
      </c>
    </row>
    <row r="140" spans="1:8" x14ac:dyDescent="0.25">
      <c r="E140" t="str">
        <f>"202110276662"</f>
        <v>202110276662</v>
      </c>
      <c r="F140" t="str">
        <f>"ACCT#0800042801 / 10022021"</f>
        <v>ACCT#0800042801 / 10022021</v>
      </c>
      <c r="G140" s="3">
        <v>47.71</v>
      </c>
      <c r="H140" t="str">
        <f>"ACCT#0800042801 / 10022021"</f>
        <v>ACCT#0800042801 / 10022021</v>
      </c>
    </row>
    <row r="141" spans="1:8" x14ac:dyDescent="0.25">
      <c r="E141" t="str">
        <f>"202110276663"</f>
        <v>202110276663</v>
      </c>
      <c r="F141" t="str">
        <f>"ACCT#0802361501 / 10022021"</f>
        <v>ACCT#0802361501 / 10022021</v>
      </c>
      <c r="G141" s="3">
        <v>26.05</v>
      </c>
      <c r="H141" t="str">
        <f>"ACCT#0802361501 / 10022021"</f>
        <v>ACCT#0802361501 / 10022021</v>
      </c>
    </row>
    <row r="142" spans="1:8" x14ac:dyDescent="0.25">
      <c r="A142" t="s">
        <v>24</v>
      </c>
      <c r="B142">
        <v>137437</v>
      </c>
      <c r="C142" s="3">
        <v>179.9</v>
      </c>
      <c r="D142" s="4">
        <v>44494</v>
      </c>
      <c r="E142" t="str">
        <f>"202110196612"</f>
        <v>202110196612</v>
      </c>
      <c r="F142" t="str">
        <f>"INDIGENT HEALTH"</f>
        <v>INDIGENT HEALTH</v>
      </c>
      <c r="G142" s="3">
        <v>179.9</v>
      </c>
      <c r="H142" t="str">
        <f>"INDIGENT HEALTH"</f>
        <v>INDIGENT HEALTH</v>
      </c>
    </row>
    <row r="143" spans="1:8" x14ac:dyDescent="0.25">
      <c r="A143" t="s">
        <v>25</v>
      </c>
      <c r="B143">
        <v>137438</v>
      </c>
      <c r="C143" s="3">
        <v>968.78</v>
      </c>
      <c r="D143" s="4">
        <v>44494</v>
      </c>
      <c r="E143" t="str">
        <f>"2125.03"</f>
        <v>2125.03</v>
      </c>
      <c r="F143" t="str">
        <f>"CONCEPTUAL PLAN/MILEAGE"</f>
        <v>CONCEPTUAL PLAN/MILEAGE</v>
      </c>
      <c r="G143" s="3">
        <v>968.78</v>
      </c>
      <c r="H143" t="str">
        <f>"CONCEPTUAL PLAN/MILEAGE"</f>
        <v>CONCEPTUAL PLAN/MILEAGE</v>
      </c>
    </row>
    <row r="144" spans="1:8" x14ac:dyDescent="0.25">
      <c r="A144" t="s">
        <v>26</v>
      </c>
      <c r="B144">
        <v>137209</v>
      </c>
      <c r="C144" s="3">
        <v>2388</v>
      </c>
      <c r="D144" s="4">
        <v>44481</v>
      </c>
      <c r="E144" t="str">
        <f>"26677"</f>
        <v>26677</v>
      </c>
      <c r="F144" t="str">
        <f>"Archive Social Invoice"</f>
        <v>Archive Social Invoice</v>
      </c>
      <c r="G144" s="3">
        <v>2388</v>
      </c>
      <c r="H144" t="str">
        <f>"Invoice# 18768"</f>
        <v>Invoice# 18768</v>
      </c>
    </row>
    <row r="145" spans="1:8" x14ac:dyDescent="0.25">
      <c r="A145" t="s">
        <v>27</v>
      </c>
      <c r="B145">
        <v>137210</v>
      </c>
      <c r="C145" s="3">
        <v>9189.7999999999993</v>
      </c>
      <c r="D145" s="4">
        <v>44481</v>
      </c>
      <c r="E145" t="str">
        <f>"202110045969"</f>
        <v>202110045969</v>
      </c>
      <c r="F145" t="str">
        <f>"ACCT#512A49-0048 193 3"</f>
        <v>ACCT#512A49-0048 193 3</v>
      </c>
      <c r="G145" s="3">
        <v>7194.41</v>
      </c>
      <c r="H145" t="str">
        <f>"ACCT#512A49-0048 193 3"</f>
        <v>ACCT#512A49-0048 193 3</v>
      </c>
    </row>
    <row r="146" spans="1:8" x14ac:dyDescent="0.25">
      <c r="E146" t="str">
        <f>""</f>
        <v/>
      </c>
      <c r="F146" t="str">
        <f>""</f>
        <v/>
      </c>
      <c r="G146" s="3">
        <v>253.23</v>
      </c>
      <c r="H146" t="str">
        <f>"ACCT#512A49-0048 193 3"</f>
        <v>ACCT#512A49-0048 193 3</v>
      </c>
    </row>
    <row r="147" spans="1:8" x14ac:dyDescent="0.25">
      <c r="E147" t="str">
        <f>""</f>
        <v/>
      </c>
      <c r="F147" t="str">
        <f>""</f>
        <v/>
      </c>
      <c r="G147" s="3">
        <v>142.41</v>
      </c>
      <c r="H147" t="str">
        <f>"ACCT#512A49-0048 193 3"</f>
        <v>ACCT#512A49-0048 193 3</v>
      </c>
    </row>
    <row r="148" spans="1:8" x14ac:dyDescent="0.25">
      <c r="E148" t="str">
        <f>"202110045970"</f>
        <v>202110045970</v>
      </c>
      <c r="F148" t="str">
        <f>"ACCT#51230898705307"</f>
        <v>ACCT#51230898705307</v>
      </c>
      <c r="G148" s="3">
        <v>1599.75</v>
      </c>
      <c r="H148" t="str">
        <f>"ACCT#51230898705307"</f>
        <v>ACCT#51230898705307</v>
      </c>
    </row>
    <row r="149" spans="1:8" x14ac:dyDescent="0.25">
      <c r="A149" t="s">
        <v>27</v>
      </c>
      <c r="B149">
        <v>137211</v>
      </c>
      <c r="C149" s="3">
        <v>4559.32</v>
      </c>
      <c r="D149" s="4">
        <v>44481</v>
      </c>
      <c r="E149" t="str">
        <f>"202110045972"</f>
        <v>202110045972</v>
      </c>
      <c r="F149" t="str">
        <f>"ACCT#008310007919623"</f>
        <v>ACCT#008310007919623</v>
      </c>
      <c r="G149" s="3">
        <v>2000.38</v>
      </c>
      <c r="H149" t="str">
        <f>"ACCT#008310007919623"</f>
        <v>ACCT#008310007919623</v>
      </c>
    </row>
    <row r="150" spans="1:8" x14ac:dyDescent="0.25">
      <c r="E150" t="str">
        <f>"202110045973"</f>
        <v>202110045973</v>
      </c>
      <c r="F150" t="str">
        <f>"ACCT#8310006084095"</f>
        <v>ACCT#8310006084095</v>
      </c>
      <c r="G150" s="3">
        <v>1684.69</v>
      </c>
      <c r="H150" t="str">
        <f>"ACCT#8310006084095"</f>
        <v>ACCT#8310006084095</v>
      </c>
    </row>
    <row r="151" spans="1:8" x14ac:dyDescent="0.25">
      <c r="E151" t="str">
        <f>"6662025600"</f>
        <v>6662025600</v>
      </c>
      <c r="F151" t="str">
        <f>"ACCT#8310007218923"</f>
        <v>ACCT#8310007218923</v>
      </c>
      <c r="G151" s="3">
        <v>874.25</v>
      </c>
      <c r="H151" t="str">
        <f>"ACCT#8310007218923"</f>
        <v>ACCT#8310007218923</v>
      </c>
    </row>
    <row r="152" spans="1:8" x14ac:dyDescent="0.25">
      <c r="A152" t="s">
        <v>27</v>
      </c>
      <c r="B152">
        <v>137439</v>
      </c>
      <c r="C152" s="3">
        <v>2929.24</v>
      </c>
      <c r="D152" s="4">
        <v>44494</v>
      </c>
      <c r="E152" t="str">
        <f>"8884425600"</f>
        <v>8884425600</v>
      </c>
      <c r="F152" t="str">
        <f>"ACCT#831-000-9850 451"</f>
        <v>ACCT#831-000-9850 451</v>
      </c>
      <c r="G152" s="3">
        <v>2929.24</v>
      </c>
      <c r="H152" t="str">
        <f>"ACCT#831-000-9850 451"</f>
        <v>ACCT#831-000-9850 451</v>
      </c>
    </row>
    <row r="153" spans="1:8" x14ac:dyDescent="0.25">
      <c r="A153" t="s">
        <v>28</v>
      </c>
      <c r="B153">
        <v>137440</v>
      </c>
      <c r="C153" s="3">
        <v>6964.19</v>
      </c>
      <c r="D153" s="4">
        <v>44494</v>
      </c>
      <c r="E153" t="str">
        <f>"287263291654X 1020"</f>
        <v>287263291654X 1020</v>
      </c>
      <c r="F153" t="str">
        <f>"ACCT#287263291654"</f>
        <v>ACCT#287263291654</v>
      </c>
      <c r="G153" s="3">
        <v>75.98</v>
      </c>
      <c r="H153" t="str">
        <f t="shared" ref="H153:H170" si="5">"ACCT#287263291654"</f>
        <v>ACCT#287263291654</v>
      </c>
    </row>
    <row r="154" spans="1:8" x14ac:dyDescent="0.25">
      <c r="E154" t="str">
        <f>""</f>
        <v/>
      </c>
      <c r="F154" t="str">
        <f>""</f>
        <v/>
      </c>
      <c r="G154" s="3">
        <v>91.18</v>
      </c>
      <c r="H154" t="str">
        <f t="shared" si="5"/>
        <v>ACCT#287263291654</v>
      </c>
    </row>
    <row r="155" spans="1:8" x14ac:dyDescent="0.25">
      <c r="E155" t="str">
        <f>""</f>
        <v/>
      </c>
      <c r="F155" t="str">
        <f>""</f>
        <v/>
      </c>
      <c r="G155" s="3">
        <v>37.99</v>
      </c>
      <c r="H155" t="str">
        <f t="shared" si="5"/>
        <v>ACCT#287263291654</v>
      </c>
    </row>
    <row r="156" spans="1:8" x14ac:dyDescent="0.25">
      <c r="E156" t="str">
        <f>""</f>
        <v/>
      </c>
      <c r="F156" t="str">
        <f>""</f>
        <v/>
      </c>
      <c r="G156" s="3">
        <v>189.95</v>
      </c>
      <c r="H156" t="str">
        <f t="shared" si="5"/>
        <v>ACCT#287263291654</v>
      </c>
    </row>
    <row r="157" spans="1:8" x14ac:dyDescent="0.25">
      <c r="E157" t="str">
        <f>""</f>
        <v/>
      </c>
      <c r="F157" t="str">
        <f>""</f>
        <v/>
      </c>
      <c r="G157" s="3">
        <v>75.98</v>
      </c>
      <c r="H157" t="str">
        <f t="shared" si="5"/>
        <v>ACCT#287263291654</v>
      </c>
    </row>
    <row r="158" spans="1:8" x14ac:dyDescent="0.25">
      <c r="E158" t="str">
        <f>""</f>
        <v/>
      </c>
      <c r="F158" t="str">
        <f>""</f>
        <v/>
      </c>
      <c r="G158" s="3">
        <v>37.99</v>
      </c>
      <c r="H158" t="str">
        <f t="shared" si="5"/>
        <v>ACCT#287263291654</v>
      </c>
    </row>
    <row r="159" spans="1:8" x14ac:dyDescent="0.25">
      <c r="E159" t="str">
        <f>""</f>
        <v/>
      </c>
      <c r="F159" t="str">
        <f>""</f>
        <v/>
      </c>
      <c r="G159" s="3">
        <v>350.91</v>
      </c>
      <c r="H159" t="str">
        <f t="shared" si="5"/>
        <v>ACCT#287263291654</v>
      </c>
    </row>
    <row r="160" spans="1:8" x14ac:dyDescent="0.25">
      <c r="E160" t="str">
        <f>""</f>
        <v/>
      </c>
      <c r="F160" t="str">
        <f>""</f>
        <v/>
      </c>
      <c r="G160" s="3">
        <v>75.98</v>
      </c>
      <c r="H160" t="str">
        <f t="shared" si="5"/>
        <v>ACCT#287263291654</v>
      </c>
    </row>
    <row r="161" spans="5:8" x14ac:dyDescent="0.25">
      <c r="E161" t="str">
        <f>""</f>
        <v/>
      </c>
      <c r="F161" t="str">
        <f>""</f>
        <v/>
      </c>
      <c r="G161" s="3">
        <v>151.96</v>
      </c>
      <c r="H161" t="str">
        <f t="shared" si="5"/>
        <v>ACCT#287263291654</v>
      </c>
    </row>
    <row r="162" spans="5:8" x14ac:dyDescent="0.25">
      <c r="E162" t="str">
        <f>""</f>
        <v/>
      </c>
      <c r="F162" t="str">
        <f>""</f>
        <v/>
      </c>
      <c r="G162" s="3">
        <v>189.95</v>
      </c>
      <c r="H162" t="str">
        <f t="shared" si="5"/>
        <v>ACCT#287263291654</v>
      </c>
    </row>
    <row r="163" spans="5:8" x14ac:dyDescent="0.25">
      <c r="E163" t="str">
        <f>""</f>
        <v/>
      </c>
      <c r="F163" t="str">
        <f>""</f>
        <v/>
      </c>
      <c r="G163" s="3">
        <v>75.98</v>
      </c>
      <c r="H163" t="str">
        <f t="shared" si="5"/>
        <v>ACCT#287263291654</v>
      </c>
    </row>
    <row r="164" spans="5:8" x14ac:dyDescent="0.25">
      <c r="E164" t="str">
        <f>""</f>
        <v/>
      </c>
      <c r="F164" t="str">
        <f>""</f>
        <v/>
      </c>
      <c r="G164" s="3">
        <v>37.99</v>
      </c>
      <c r="H164" t="str">
        <f t="shared" si="5"/>
        <v>ACCT#287263291654</v>
      </c>
    </row>
    <row r="165" spans="5:8" x14ac:dyDescent="0.25">
      <c r="E165" t="str">
        <f>""</f>
        <v/>
      </c>
      <c r="F165" t="str">
        <f>""</f>
        <v/>
      </c>
      <c r="G165" s="3">
        <v>75.98</v>
      </c>
      <c r="H165" t="str">
        <f t="shared" si="5"/>
        <v>ACCT#287263291654</v>
      </c>
    </row>
    <row r="166" spans="5:8" x14ac:dyDescent="0.25">
      <c r="E166" t="str">
        <f>""</f>
        <v/>
      </c>
      <c r="F166" t="str">
        <f>""</f>
        <v/>
      </c>
      <c r="G166" s="3">
        <v>37.99</v>
      </c>
      <c r="H166" t="str">
        <f t="shared" si="5"/>
        <v>ACCT#287263291654</v>
      </c>
    </row>
    <row r="167" spans="5:8" x14ac:dyDescent="0.25">
      <c r="E167" t="str">
        <f>""</f>
        <v/>
      </c>
      <c r="F167" t="str">
        <f>""</f>
        <v/>
      </c>
      <c r="G167" s="3">
        <v>37.99</v>
      </c>
      <c r="H167" t="str">
        <f t="shared" si="5"/>
        <v>ACCT#287263291654</v>
      </c>
    </row>
    <row r="168" spans="5:8" x14ac:dyDescent="0.25">
      <c r="E168" t="str">
        <f>""</f>
        <v/>
      </c>
      <c r="F168" t="str">
        <f>""</f>
        <v/>
      </c>
      <c r="G168" s="3">
        <v>38.19</v>
      </c>
      <c r="H168" t="str">
        <f t="shared" si="5"/>
        <v>ACCT#287263291654</v>
      </c>
    </row>
    <row r="169" spans="5:8" x14ac:dyDescent="0.25">
      <c r="E169" t="str">
        <f>""</f>
        <v/>
      </c>
      <c r="F169" t="str">
        <f>""</f>
        <v/>
      </c>
      <c r="G169" s="3">
        <v>37.99</v>
      </c>
      <c r="H169" t="str">
        <f t="shared" si="5"/>
        <v>ACCT#287263291654</v>
      </c>
    </row>
    <row r="170" spans="5:8" x14ac:dyDescent="0.25">
      <c r="E170" t="str">
        <f>""</f>
        <v/>
      </c>
      <c r="F170" t="str">
        <f>""</f>
        <v/>
      </c>
      <c r="G170" s="3">
        <v>156.96</v>
      </c>
      <c r="H170" t="str">
        <f t="shared" si="5"/>
        <v>ACCT#287263291654</v>
      </c>
    </row>
    <row r="171" spans="5:8" x14ac:dyDescent="0.25">
      <c r="E171" t="str">
        <f>"287280903541X10022"</f>
        <v>287280903541X10022</v>
      </c>
      <c r="F171" t="str">
        <f>"INV 287280903541X10202021"</f>
        <v>INV 287280903541X10202021</v>
      </c>
      <c r="G171" s="3">
        <v>264.2</v>
      </c>
      <c r="H171" t="str">
        <f>"INV 287280903541X10202021"</f>
        <v>INV 287280903541X10202021</v>
      </c>
    </row>
    <row r="172" spans="5:8" x14ac:dyDescent="0.25">
      <c r="E172" t="str">
        <f>"287290524359X 0927"</f>
        <v>287290524359X 0927</v>
      </c>
      <c r="F172" t="str">
        <f>"ACCT#287290524359/FAN#58143538"</f>
        <v>ACCT#287290524359/FAN#58143538</v>
      </c>
      <c r="G172" s="3">
        <v>158</v>
      </c>
      <c r="H172" t="str">
        <f t="shared" ref="H172:H185" si="6">"ACCT#287290524359/FAN#58143538"</f>
        <v>ACCT#287290524359/FAN#58143538</v>
      </c>
    </row>
    <row r="173" spans="5:8" x14ac:dyDescent="0.25">
      <c r="E173" t="str">
        <f>""</f>
        <v/>
      </c>
      <c r="F173" t="str">
        <f>""</f>
        <v/>
      </c>
      <c r="G173" s="3">
        <v>259</v>
      </c>
      <c r="H173" t="str">
        <f t="shared" si="6"/>
        <v>ACCT#287290524359/FAN#58143538</v>
      </c>
    </row>
    <row r="174" spans="5:8" x14ac:dyDescent="0.25">
      <c r="E174" t="str">
        <f>""</f>
        <v/>
      </c>
      <c r="F174" t="str">
        <f>""</f>
        <v/>
      </c>
      <c r="G174" s="3">
        <v>37</v>
      </c>
      <c r="H174" t="str">
        <f t="shared" si="6"/>
        <v>ACCT#287290524359/FAN#58143538</v>
      </c>
    </row>
    <row r="175" spans="5:8" x14ac:dyDescent="0.25">
      <c r="E175" t="str">
        <f>""</f>
        <v/>
      </c>
      <c r="F175" t="str">
        <f>""</f>
        <v/>
      </c>
      <c r="G175" s="3">
        <v>37</v>
      </c>
      <c r="H175" t="str">
        <f t="shared" si="6"/>
        <v>ACCT#287290524359/FAN#58143538</v>
      </c>
    </row>
    <row r="176" spans="5:8" x14ac:dyDescent="0.25">
      <c r="E176" t="str">
        <f>""</f>
        <v/>
      </c>
      <c r="F176" t="str">
        <f>""</f>
        <v/>
      </c>
      <c r="G176" s="3">
        <v>185</v>
      </c>
      <c r="H176" t="str">
        <f t="shared" si="6"/>
        <v>ACCT#287290524359/FAN#58143538</v>
      </c>
    </row>
    <row r="177" spans="1:8" x14ac:dyDescent="0.25">
      <c r="E177" t="str">
        <f>""</f>
        <v/>
      </c>
      <c r="F177" t="str">
        <f>""</f>
        <v/>
      </c>
      <c r="G177" s="3">
        <v>37</v>
      </c>
      <c r="H177" t="str">
        <f t="shared" si="6"/>
        <v>ACCT#287290524359/FAN#58143538</v>
      </c>
    </row>
    <row r="178" spans="1:8" x14ac:dyDescent="0.25">
      <c r="E178" t="str">
        <f>""</f>
        <v/>
      </c>
      <c r="F178" t="str">
        <f>""</f>
        <v/>
      </c>
      <c r="G178" s="3">
        <v>524</v>
      </c>
      <c r="H178" t="str">
        <f t="shared" si="6"/>
        <v>ACCT#287290524359/FAN#58143538</v>
      </c>
    </row>
    <row r="179" spans="1:8" x14ac:dyDescent="0.25">
      <c r="E179" t="str">
        <f>""</f>
        <v/>
      </c>
      <c r="F179" t="str">
        <f>""</f>
        <v/>
      </c>
      <c r="G179" s="3">
        <v>185</v>
      </c>
      <c r="H179" t="str">
        <f t="shared" si="6"/>
        <v>ACCT#287290524359/FAN#58143538</v>
      </c>
    </row>
    <row r="180" spans="1:8" x14ac:dyDescent="0.25">
      <c r="E180" t="str">
        <f>""</f>
        <v/>
      </c>
      <c r="F180" t="str">
        <f>""</f>
        <v/>
      </c>
      <c r="G180" s="3">
        <v>250.37</v>
      </c>
      <c r="H180" t="str">
        <f t="shared" si="6"/>
        <v>ACCT#287290524359/FAN#58143538</v>
      </c>
    </row>
    <row r="181" spans="1:8" x14ac:dyDescent="0.25">
      <c r="E181" t="str">
        <f>""</f>
        <v/>
      </c>
      <c r="F181" t="str">
        <f>""</f>
        <v/>
      </c>
      <c r="G181" s="3">
        <v>284.99</v>
      </c>
      <c r="H181" t="str">
        <f t="shared" si="6"/>
        <v>ACCT#287290524359/FAN#58143538</v>
      </c>
    </row>
    <row r="182" spans="1:8" x14ac:dyDescent="0.25">
      <c r="E182" t="str">
        <f>""</f>
        <v/>
      </c>
      <c r="F182" t="str">
        <f>""</f>
        <v/>
      </c>
      <c r="G182" s="3">
        <v>37</v>
      </c>
      <c r="H182" t="str">
        <f t="shared" si="6"/>
        <v>ACCT#287290524359/FAN#58143538</v>
      </c>
    </row>
    <row r="183" spans="1:8" x14ac:dyDescent="0.25">
      <c r="E183" t="str">
        <f>""</f>
        <v/>
      </c>
      <c r="F183" t="str">
        <f>""</f>
        <v/>
      </c>
      <c r="G183" s="3">
        <v>2817.69</v>
      </c>
      <c r="H183" t="str">
        <f t="shared" si="6"/>
        <v>ACCT#287290524359/FAN#58143538</v>
      </c>
    </row>
    <row r="184" spans="1:8" x14ac:dyDescent="0.25">
      <c r="E184" t="str">
        <f>""</f>
        <v/>
      </c>
      <c r="F184" t="str">
        <f>""</f>
        <v/>
      </c>
      <c r="G184" s="3">
        <v>74</v>
      </c>
      <c r="H184" t="str">
        <f t="shared" si="6"/>
        <v>ACCT#287290524359/FAN#58143538</v>
      </c>
    </row>
    <row r="185" spans="1:8" x14ac:dyDescent="0.25">
      <c r="E185" t="str">
        <f>""</f>
        <v/>
      </c>
      <c r="F185" t="str">
        <f>""</f>
        <v/>
      </c>
      <c r="G185" s="3">
        <v>37</v>
      </c>
      <c r="H185" t="str">
        <f t="shared" si="6"/>
        <v>ACCT#287290524359/FAN#58143538</v>
      </c>
    </row>
    <row r="186" spans="1:8" x14ac:dyDescent="0.25">
      <c r="A186" t="s">
        <v>29</v>
      </c>
      <c r="B186">
        <v>5210</v>
      </c>
      <c r="C186" s="3">
        <v>342.85</v>
      </c>
      <c r="D186" s="4">
        <v>44482</v>
      </c>
      <c r="E186" t="str">
        <f>"6035"</f>
        <v>6035</v>
      </c>
      <c r="F186" t="str">
        <f>"SO#5891/PCT#2"</f>
        <v>SO#5891/PCT#2</v>
      </c>
      <c r="G186" s="3">
        <v>342.85</v>
      </c>
      <c r="H186" t="str">
        <f>"SO#5891/PCT#2"</f>
        <v>SO#5891/PCT#2</v>
      </c>
    </row>
    <row r="187" spans="1:8" x14ac:dyDescent="0.25">
      <c r="A187" t="s">
        <v>30</v>
      </c>
      <c r="B187">
        <v>137212</v>
      </c>
      <c r="C187" s="3">
        <v>97</v>
      </c>
      <c r="D187" s="4">
        <v>44481</v>
      </c>
      <c r="E187" t="str">
        <f>"202110045993"</f>
        <v>202110045993</v>
      </c>
      <c r="F187" t="str">
        <f>"REIMBURSE/AUGUST FORADORY"</f>
        <v>REIMBURSE/AUGUST FORADORY</v>
      </c>
      <c r="G187" s="3">
        <v>97</v>
      </c>
      <c r="H187" t="str">
        <f>"REIMBURSE/AUGUST FORADORY"</f>
        <v>REIMBURSE/AUGUST FORADORY</v>
      </c>
    </row>
    <row r="188" spans="1:8" x14ac:dyDescent="0.25">
      <c r="A188" t="s">
        <v>31</v>
      </c>
      <c r="B188">
        <v>137441</v>
      </c>
      <c r="C188" s="3">
        <v>917.96</v>
      </c>
      <c r="D188" s="4">
        <v>44494</v>
      </c>
      <c r="E188" t="str">
        <f>"202110196614"</f>
        <v>202110196614</v>
      </c>
      <c r="F188" t="str">
        <f>"INDIGENT HEALTH"</f>
        <v>INDIGENT HEALTH</v>
      </c>
      <c r="G188" s="3">
        <v>917.96</v>
      </c>
      <c r="H188" t="str">
        <f>"INDIGENT HEALTH"</f>
        <v>INDIGENT HEALTH</v>
      </c>
    </row>
    <row r="189" spans="1:8" x14ac:dyDescent="0.25">
      <c r="A189" t="s">
        <v>32</v>
      </c>
      <c r="B189">
        <v>137442</v>
      </c>
      <c r="C189" s="3">
        <v>291.48</v>
      </c>
      <c r="D189" s="4">
        <v>44494</v>
      </c>
      <c r="E189" t="str">
        <f>"161372"</f>
        <v>161372</v>
      </c>
      <c r="F189" t="str">
        <f>"PARTS/PCT#3"</f>
        <v>PARTS/PCT#3</v>
      </c>
      <c r="G189" s="3">
        <v>291.48</v>
      </c>
      <c r="H189" t="str">
        <f>"PARTS/PCT#3"</f>
        <v>PARTS/PCT#3</v>
      </c>
    </row>
    <row r="190" spans="1:8" x14ac:dyDescent="0.25">
      <c r="A190" t="s">
        <v>33</v>
      </c>
      <c r="B190">
        <v>137443</v>
      </c>
      <c r="C190" s="3">
        <v>450</v>
      </c>
      <c r="D190" s="4">
        <v>44494</v>
      </c>
      <c r="E190" t="str">
        <f>"002175"</f>
        <v>002175</v>
      </c>
      <c r="F190" t="str">
        <f>"WRECKER SERVICE RB1"</f>
        <v>WRECKER SERVICE RB1</v>
      </c>
      <c r="G190" s="3">
        <v>450</v>
      </c>
      <c r="H190" t="str">
        <f>"WRECKER SERVICE RB1"</f>
        <v>WRECKER SERVICE RB1</v>
      </c>
    </row>
    <row r="191" spans="1:8" x14ac:dyDescent="0.25">
      <c r="A191" t="s">
        <v>34</v>
      </c>
      <c r="B191">
        <v>5213</v>
      </c>
      <c r="C191" s="3">
        <v>1594.94</v>
      </c>
      <c r="D191" s="4">
        <v>44482</v>
      </c>
      <c r="E191" t="str">
        <f>"202110066094"</f>
        <v>202110066094</v>
      </c>
      <c r="F191" t="str">
        <f>"ACCT#0011/PCT#3"</f>
        <v>ACCT#0011/PCT#3</v>
      </c>
      <c r="G191" s="3">
        <v>1452.94</v>
      </c>
      <c r="H191" t="str">
        <f>"ACCT#0011/PCT#3"</f>
        <v>ACCT#0011/PCT#3</v>
      </c>
    </row>
    <row r="192" spans="1:8" x14ac:dyDescent="0.25">
      <c r="E192" t="str">
        <f>"387547"</f>
        <v>387547</v>
      </c>
      <c r="F192" t="str">
        <f>"CUST#0010/PCT#2"</f>
        <v>CUST#0010/PCT#2</v>
      </c>
      <c r="G192" s="3">
        <v>142</v>
      </c>
      <c r="H192" t="str">
        <f>"CUST#0010/PCT#2"</f>
        <v>CUST#0010/PCT#2</v>
      </c>
    </row>
    <row r="193" spans="1:8" x14ac:dyDescent="0.25">
      <c r="A193" t="s">
        <v>34</v>
      </c>
      <c r="B193">
        <v>5295</v>
      </c>
      <c r="C193" s="3">
        <v>992.46</v>
      </c>
      <c r="D193" s="4">
        <v>44495</v>
      </c>
      <c r="E193" t="str">
        <f>"387541"</f>
        <v>387541</v>
      </c>
      <c r="F193" t="str">
        <f>"DUMP TRUCK TIRE REPAIR RB1"</f>
        <v>DUMP TRUCK TIRE REPAIR RB1</v>
      </c>
      <c r="G193" s="3">
        <v>38</v>
      </c>
      <c r="H193" t="str">
        <f>"DUMP TRUCK TIRE REPAIR RB1"</f>
        <v>DUMP TRUCK TIRE REPAIR RB1</v>
      </c>
    </row>
    <row r="194" spans="1:8" x14ac:dyDescent="0.25">
      <c r="E194" t="str">
        <f>"388085"</f>
        <v>388085</v>
      </c>
      <c r="F194" t="str">
        <f>"INV 388085"</f>
        <v>INV 388085</v>
      </c>
      <c r="G194" s="3">
        <v>954.46</v>
      </c>
      <c r="H194" t="str">
        <f>"INV 388085"</f>
        <v>INV 388085</v>
      </c>
    </row>
    <row r="195" spans="1:8" x14ac:dyDescent="0.25">
      <c r="A195" t="s">
        <v>35</v>
      </c>
      <c r="B195">
        <v>5183</v>
      </c>
      <c r="C195" s="3">
        <v>11000</v>
      </c>
      <c r="D195" s="4">
        <v>44482</v>
      </c>
      <c r="E195" t="str">
        <f>"1646"</f>
        <v>1646</v>
      </c>
      <c r="F195" t="str">
        <f>"LOVERS LANE FENCE/PCT#1"</f>
        <v>LOVERS LANE FENCE/PCT#1</v>
      </c>
      <c r="G195" s="3">
        <v>11000</v>
      </c>
      <c r="H195" t="str">
        <f>"LOVERS LANE FENCE/PCT#1"</f>
        <v>LOVERS LANE FENCE/PCT#1</v>
      </c>
    </row>
    <row r="196" spans="1:8" x14ac:dyDescent="0.25">
      <c r="A196" t="s">
        <v>36</v>
      </c>
      <c r="B196">
        <v>137213</v>
      </c>
      <c r="C196" s="3">
        <v>611</v>
      </c>
      <c r="D196" s="4">
        <v>44481</v>
      </c>
      <c r="E196" t="str">
        <f>"13489  08/17/21"</f>
        <v>13489  08/17/21</v>
      </c>
      <c r="F196" t="str">
        <f>"SERVICE  08/17/21"</f>
        <v>SERVICE  08/17/21</v>
      </c>
      <c r="G196" s="3">
        <v>11</v>
      </c>
      <c r="H196" t="str">
        <f>"SERVICE  08/17/21"</f>
        <v>SERVICE  08/17/21</v>
      </c>
    </row>
    <row r="197" spans="1:8" x14ac:dyDescent="0.25">
      <c r="E197" t="str">
        <f>"13775"</f>
        <v>13775</v>
      </c>
      <c r="F197" t="str">
        <f>"SERVICE FEE  08/17/21"</f>
        <v>SERVICE FEE  08/17/21</v>
      </c>
      <c r="G197" s="3">
        <v>600</v>
      </c>
      <c r="H197" t="str">
        <f>"SERVICE FEE  08/17/21"</f>
        <v>SERVICE FEE  08/17/21</v>
      </c>
    </row>
    <row r="198" spans="1:8" x14ac:dyDescent="0.25">
      <c r="A198" t="s">
        <v>36</v>
      </c>
      <c r="B198">
        <v>137444</v>
      </c>
      <c r="C198" s="3">
        <v>216</v>
      </c>
      <c r="D198" s="4">
        <v>44494</v>
      </c>
      <c r="E198" t="str">
        <f>"13390  08/30"</f>
        <v>13390  08/30</v>
      </c>
      <c r="F198" t="str">
        <f t="shared" ref="F198:F203" si="7">"SERVICE"</f>
        <v>SERVICE</v>
      </c>
      <c r="G198" s="3">
        <v>4</v>
      </c>
      <c r="H198" t="str">
        <f t="shared" ref="H198:H203" si="8">"SERVICE"</f>
        <v>SERVICE</v>
      </c>
    </row>
    <row r="199" spans="1:8" x14ac:dyDescent="0.25">
      <c r="E199" t="str">
        <f>"13506"</f>
        <v>13506</v>
      </c>
      <c r="F199" t="str">
        <f t="shared" si="7"/>
        <v>SERVICE</v>
      </c>
      <c r="G199" s="3">
        <v>75</v>
      </c>
      <c r="H199" t="str">
        <f t="shared" si="8"/>
        <v>SERVICE</v>
      </c>
    </row>
    <row r="200" spans="1:8" x14ac:dyDescent="0.25">
      <c r="E200" t="str">
        <f>"13510  08/30"</f>
        <v>13510  08/30</v>
      </c>
      <c r="F200" t="str">
        <f t="shared" si="7"/>
        <v>SERVICE</v>
      </c>
      <c r="G200" s="3">
        <v>25</v>
      </c>
      <c r="H200" t="str">
        <f t="shared" si="8"/>
        <v>SERVICE</v>
      </c>
    </row>
    <row r="201" spans="1:8" x14ac:dyDescent="0.25">
      <c r="E201" t="str">
        <f>"13582  08/31"</f>
        <v>13582  08/31</v>
      </c>
      <c r="F201" t="str">
        <f t="shared" si="7"/>
        <v>SERVICE</v>
      </c>
      <c r="G201" s="3">
        <v>25</v>
      </c>
      <c r="H201" t="str">
        <f t="shared" si="8"/>
        <v>SERVICE</v>
      </c>
    </row>
    <row r="202" spans="1:8" x14ac:dyDescent="0.25">
      <c r="E202" t="str">
        <f>"13589"</f>
        <v>13589</v>
      </c>
      <c r="F202" t="str">
        <f t="shared" si="7"/>
        <v>SERVICE</v>
      </c>
      <c r="G202" s="3">
        <v>75</v>
      </c>
      <c r="H202" t="str">
        <f t="shared" si="8"/>
        <v>SERVICE</v>
      </c>
    </row>
    <row r="203" spans="1:8" x14ac:dyDescent="0.25">
      <c r="E203" t="str">
        <f>"13666"</f>
        <v>13666</v>
      </c>
      <c r="F203" t="str">
        <f t="shared" si="7"/>
        <v>SERVICE</v>
      </c>
      <c r="G203" s="3">
        <v>12</v>
      </c>
      <c r="H203" t="str">
        <f t="shared" si="8"/>
        <v>SERVICE</v>
      </c>
    </row>
    <row r="204" spans="1:8" x14ac:dyDescent="0.25">
      <c r="A204" t="s">
        <v>37</v>
      </c>
      <c r="B204">
        <v>5294</v>
      </c>
      <c r="C204" s="3">
        <v>338.52</v>
      </c>
      <c r="D204" s="4">
        <v>44495</v>
      </c>
      <c r="E204" t="str">
        <f>"202110186573"</f>
        <v>202110186573</v>
      </c>
      <c r="F204" t="str">
        <f>"ACCT#BC01/OFFICE SUPPLIES"</f>
        <v>ACCT#BC01/OFFICE SUPPLIES</v>
      </c>
      <c r="G204" s="3">
        <v>133</v>
      </c>
      <c r="H204" t="str">
        <f>"ACCT#BC01/OFFICE SUPPLIES"</f>
        <v>ACCT#BC01/OFFICE SUPPLIES</v>
      </c>
    </row>
    <row r="205" spans="1:8" x14ac:dyDescent="0.25">
      <c r="E205" t="str">
        <f>""</f>
        <v/>
      </c>
      <c r="F205" t="str">
        <f>""</f>
        <v/>
      </c>
      <c r="G205" s="3">
        <v>98.54</v>
      </c>
      <c r="H205" t="str">
        <f>"ACCT#BC01/OFFICE SUPPLIES"</f>
        <v>ACCT#BC01/OFFICE SUPPLIES</v>
      </c>
    </row>
    <row r="206" spans="1:8" x14ac:dyDescent="0.25">
      <c r="E206" t="str">
        <f>""</f>
        <v/>
      </c>
      <c r="F206" t="str">
        <f>""</f>
        <v/>
      </c>
      <c r="G206" s="3">
        <v>12.98</v>
      </c>
      <c r="H206" t="str">
        <f>"ACCT#BC01/OFFICE SUPPLIES"</f>
        <v>ACCT#BC01/OFFICE SUPPLIES</v>
      </c>
    </row>
    <row r="207" spans="1:8" x14ac:dyDescent="0.25">
      <c r="E207" t="str">
        <f>""</f>
        <v/>
      </c>
      <c r="F207" t="str">
        <f>""</f>
        <v/>
      </c>
      <c r="G207" s="3">
        <v>94</v>
      </c>
      <c r="H207" t="str">
        <f>"ACCT#BC01/OFFICE SUPPLIES"</f>
        <v>ACCT#BC01/OFFICE SUPPLIES</v>
      </c>
    </row>
    <row r="208" spans="1:8" x14ac:dyDescent="0.25">
      <c r="A208" t="s">
        <v>38</v>
      </c>
      <c r="B208">
        <v>5204</v>
      </c>
      <c r="C208" s="3">
        <v>18333.560000000001</v>
      </c>
      <c r="D208" s="4">
        <v>44482</v>
      </c>
      <c r="E208" t="str">
        <f>"202110056075"</f>
        <v>202110056075</v>
      </c>
      <c r="F208" t="str">
        <f>"GRANT REIMBURSEMENT"</f>
        <v>GRANT REIMBURSEMENT</v>
      </c>
      <c r="G208" s="3">
        <v>18333.560000000001</v>
      </c>
      <c r="H208" t="str">
        <f>"GRANT REIMBURSEMENT"</f>
        <v>GRANT REIMBURSEMENT</v>
      </c>
    </row>
    <row r="209" spans="1:8" x14ac:dyDescent="0.25">
      <c r="A209" t="s">
        <v>39</v>
      </c>
      <c r="B209">
        <v>5229</v>
      </c>
      <c r="C209" s="3">
        <v>166.75</v>
      </c>
      <c r="D209" s="4">
        <v>44482</v>
      </c>
      <c r="E209" t="str">
        <f>"202110066112"</f>
        <v>202110066112</v>
      </c>
      <c r="F209" t="str">
        <f>"VEHICLE REGISTRATIONS"</f>
        <v>VEHICLE REGISTRATIONS</v>
      </c>
      <c r="G209" s="3">
        <v>7.5</v>
      </c>
      <c r="H209" t="str">
        <f>"VEHICLE REGISTRATIONS"</f>
        <v>VEHICLE REGISTRATIONS</v>
      </c>
    </row>
    <row r="210" spans="1:8" x14ac:dyDescent="0.25">
      <c r="E210" t="str">
        <f>""</f>
        <v/>
      </c>
      <c r="F210" t="str">
        <f>""</f>
        <v/>
      </c>
      <c r="G210" s="3">
        <v>30</v>
      </c>
      <c r="H210" t="str">
        <f>"VEHICLE REGISTRATIONS"</f>
        <v>VEHICLE REGISTRATIONS</v>
      </c>
    </row>
    <row r="211" spans="1:8" x14ac:dyDescent="0.25">
      <c r="E211" t="str">
        <f>""</f>
        <v/>
      </c>
      <c r="F211" t="str">
        <f>""</f>
        <v/>
      </c>
      <c r="G211" s="3">
        <v>7.5</v>
      </c>
      <c r="H211" t="str">
        <f>"VEHICLE REGISTRATIONS"</f>
        <v>VEHICLE REGISTRATIONS</v>
      </c>
    </row>
    <row r="212" spans="1:8" x14ac:dyDescent="0.25">
      <c r="E212" t="str">
        <f>""</f>
        <v/>
      </c>
      <c r="F212" t="str">
        <f>""</f>
        <v/>
      </c>
      <c r="G212" s="3">
        <v>7.5</v>
      </c>
      <c r="H212" t="str">
        <f>"VEHICLE REGISTRATIONS"</f>
        <v>VEHICLE REGISTRATIONS</v>
      </c>
    </row>
    <row r="213" spans="1:8" x14ac:dyDescent="0.25">
      <c r="E213" t="str">
        <f>""</f>
        <v/>
      </c>
      <c r="F213" t="str">
        <f>""</f>
        <v/>
      </c>
      <c r="G213" s="3">
        <v>114.25</v>
      </c>
      <c r="H213" t="str">
        <f>"VEHICLE REGISTRATIONS"</f>
        <v>VEHICLE REGISTRATIONS</v>
      </c>
    </row>
    <row r="214" spans="1:8" x14ac:dyDescent="0.25">
      <c r="A214" t="s">
        <v>38</v>
      </c>
      <c r="B214">
        <v>5283</v>
      </c>
      <c r="C214" s="3">
        <v>9146.75</v>
      </c>
      <c r="D214" s="4">
        <v>44495</v>
      </c>
      <c r="E214" t="str">
        <f>"202110156539"</f>
        <v>202110156539</v>
      </c>
      <c r="F214" t="str">
        <f>"HOGG FOUNDATION GRANT"</f>
        <v>HOGG FOUNDATION GRANT</v>
      </c>
      <c r="G214" s="3">
        <v>9146.75</v>
      </c>
      <c r="H214" t="str">
        <f>"HOGG FOUNDATION GRANT"</f>
        <v>HOGG FOUNDATION GRANT</v>
      </c>
    </row>
    <row r="215" spans="1:8" x14ac:dyDescent="0.25">
      <c r="A215" t="s">
        <v>40</v>
      </c>
      <c r="B215">
        <v>137214</v>
      </c>
      <c r="C215" s="3">
        <v>7500</v>
      </c>
      <c r="D215" s="4">
        <v>44481</v>
      </c>
      <c r="E215" t="str">
        <f>"202110045974"</f>
        <v>202110045974</v>
      </c>
      <c r="F215" t="str">
        <f>"FY 2021-2022 FUNDING"</f>
        <v>FY 2021-2022 FUNDING</v>
      </c>
      <c r="G215" s="3">
        <v>7500</v>
      </c>
      <c r="H215" t="str">
        <f>"FY 2021-2022 FUNDING"</f>
        <v>FY 2021-2022 FUNDING</v>
      </c>
    </row>
    <row r="216" spans="1:8" x14ac:dyDescent="0.25">
      <c r="A216" t="s">
        <v>41</v>
      </c>
      <c r="B216">
        <v>137215</v>
      </c>
      <c r="C216" s="3">
        <v>200</v>
      </c>
      <c r="D216" s="4">
        <v>44481</v>
      </c>
      <c r="E216" t="str">
        <f>"202110066132"</f>
        <v>202110066132</v>
      </c>
      <c r="F216" t="str">
        <f>"PETTY CASH &amp; TILL MONEY"</f>
        <v>PETTY CASH &amp; TILL MONEY</v>
      </c>
      <c r="G216" s="3">
        <v>200</v>
      </c>
      <c r="H216" t="str">
        <f>"PETTY CASH &amp; TILL MONEY"</f>
        <v>PETTY CASH &amp; TILL MONEY</v>
      </c>
    </row>
    <row r="217" spans="1:8" x14ac:dyDescent="0.25">
      <c r="A217" t="s">
        <v>39</v>
      </c>
      <c r="B217">
        <v>137445</v>
      </c>
      <c r="C217" s="3">
        <v>112.64</v>
      </c>
      <c r="D217" s="4">
        <v>44494</v>
      </c>
      <c r="E217" t="str">
        <f>"202110186587"</f>
        <v>202110186587</v>
      </c>
      <c r="F217" t="str">
        <f>"ACCT#178467/DEPOSIT SLIPS"</f>
        <v>ACCT#178467/DEPOSIT SLIPS</v>
      </c>
      <c r="G217" s="3">
        <v>112.64</v>
      </c>
      <c r="H217" t="str">
        <f>"ACCT#178467/DEPOSIT SLIPS"</f>
        <v>ACCT#178467/DEPOSIT SLIPS</v>
      </c>
    </row>
    <row r="218" spans="1:8" x14ac:dyDescent="0.25">
      <c r="A218" t="s">
        <v>42</v>
      </c>
      <c r="B218">
        <v>5181</v>
      </c>
      <c r="C218" s="3">
        <v>640</v>
      </c>
      <c r="D218" s="4">
        <v>44482</v>
      </c>
      <c r="E218" t="str">
        <f>"2021171"</f>
        <v>2021171</v>
      </c>
      <c r="F218" t="str">
        <f>"TRANSPORT - STACEY MILLER"</f>
        <v>TRANSPORT - STACEY MILLER</v>
      </c>
      <c r="G218" s="3">
        <v>640</v>
      </c>
      <c r="H218" t="str">
        <f>"TRANSPORT - STACEY MILLER"</f>
        <v>TRANSPORT - STACEY MILLER</v>
      </c>
    </row>
    <row r="219" spans="1:8" x14ac:dyDescent="0.25">
      <c r="A219" t="s">
        <v>42</v>
      </c>
      <c r="B219">
        <v>5260</v>
      </c>
      <c r="C219" s="3">
        <v>8855</v>
      </c>
      <c r="D219" s="4">
        <v>44495</v>
      </c>
      <c r="E219" t="str">
        <f>"2021188"</f>
        <v>2021188</v>
      </c>
      <c r="F219" t="str">
        <f>"TRANSPORT - A. MCKINNON"</f>
        <v>TRANSPORT - A. MCKINNON</v>
      </c>
      <c r="G219" s="3">
        <v>390</v>
      </c>
      <c r="H219" t="str">
        <f>"TRANSPORT - A. MCKINNON"</f>
        <v>TRANSPORT - A. MCKINNON</v>
      </c>
    </row>
    <row r="220" spans="1:8" x14ac:dyDescent="0.25">
      <c r="E220" t="str">
        <f>"2021190"</f>
        <v>2021190</v>
      </c>
      <c r="F220" t="str">
        <f>"TRANSPORT - A. THOMAS"</f>
        <v>TRANSPORT - A. THOMAS</v>
      </c>
      <c r="G220" s="3">
        <v>640</v>
      </c>
      <c r="H220" t="str">
        <f>"TRANSPORT - A. THOMAS"</f>
        <v>TRANSPORT - A. THOMAS</v>
      </c>
    </row>
    <row r="221" spans="1:8" x14ac:dyDescent="0.25">
      <c r="E221" t="str">
        <f>"2021194"</f>
        <v>2021194</v>
      </c>
      <c r="F221" t="str">
        <f>"TRANSPORT - N. HERNANDEZ"</f>
        <v>TRANSPORT - N. HERNANDEZ</v>
      </c>
      <c r="G221" s="3">
        <v>640</v>
      </c>
      <c r="H221" t="str">
        <f>"TRANSPORT - N. HERNANDEZ"</f>
        <v>TRANSPORT - N. HERNANDEZ</v>
      </c>
    </row>
    <row r="222" spans="1:8" x14ac:dyDescent="0.25">
      <c r="E222" t="str">
        <f>"2021199"</f>
        <v>2021199</v>
      </c>
      <c r="F222" t="str">
        <f>"TRANSPORT - J. FLANAGAN"</f>
        <v>TRANSPORT - J. FLANAGAN</v>
      </c>
      <c r="G222" s="3">
        <v>390</v>
      </c>
      <c r="H222" t="str">
        <f>"TRANSPORT - J. FLANAGAN"</f>
        <v>TRANSPORT - J. FLANAGAN</v>
      </c>
    </row>
    <row r="223" spans="1:8" x14ac:dyDescent="0.25">
      <c r="E223" t="str">
        <f>"2021200"</f>
        <v>2021200</v>
      </c>
      <c r="F223" t="str">
        <f>"TRANSPORT - K. YOUNG"</f>
        <v>TRANSPORT - K. YOUNG</v>
      </c>
      <c r="G223" s="3">
        <v>390</v>
      </c>
      <c r="H223" t="str">
        <f>"TRANSPORT - K. YOUNG"</f>
        <v>TRANSPORT - K. YOUNG</v>
      </c>
    </row>
    <row r="224" spans="1:8" x14ac:dyDescent="0.25">
      <c r="E224" t="str">
        <f>"2021201"</f>
        <v>2021201</v>
      </c>
      <c r="F224" t="str">
        <f>"TRANSPORT - A. RUSHING"</f>
        <v>TRANSPORT - A. RUSHING</v>
      </c>
      <c r="G224" s="3">
        <v>640</v>
      </c>
      <c r="H224" t="str">
        <f>"TRANSPORT - A. RUSHING"</f>
        <v>TRANSPORT - A. RUSHING</v>
      </c>
    </row>
    <row r="225" spans="1:8" x14ac:dyDescent="0.25">
      <c r="E225" t="str">
        <f>"2021202"</f>
        <v>2021202</v>
      </c>
      <c r="F225" t="str">
        <f>"TRANSPORT - M. HOFFMAN"</f>
        <v>TRANSPORT - M. HOFFMAN</v>
      </c>
      <c r="G225" s="3">
        <v>640</v>
      </c>
      <c r="H225" t="str">
        <f>"TRANSPORT - M. HOFFMAN"</f>
        <v>TRANSPORT - M. HOFFMAN</v>
      </c>
    </row>
    <row r="226" spans="1:8" x14ac:dyDescent="0.25">
      <c r="E226" t="str">
        <f>"2021203"</f>
        <v>2021203</v>
      </c>
      <c r="F226" t="str">
        <f>"TRANSPORT - P. PHILOMY"</f>
        <v>TRANSPORT - P. PHILOMY</v>
      </c>
      <c r="G226" s="3">
        <v>640</v>
      </c>
      <c r="H226" t="str">
        <f>"TRANSPORT - P. PHILOMY"</f>
        <v>TRANSPORT - P. PHILOMY</v>
      </c>
    </row>
    <row r="227" spans="1:8" x14ac:dyDescent="0.25">
      <c r="E227" t="str">
        <f>"2021204"</f>
        <v>2021204</v>
      </c>
      <c r="F227" t="str">
        <f>"TRANSPORT - J.A. MARTIN"</f>
        <v>TRANSPORT - J.A. MARTIN</v>
      </c>
      <c r="G227" s="3">
        <v>990</v>
      </c>
      <c r="H227" t="str">
        <f>"TRANSPORT - J.A. MARTIN"</f>
        <v>TRANSPORT - J.A. MARTIN</v>
      </c>
    </row>
    <row r="228" spans="1:8" x14ac:dyDescent="0.25">
      <c r="E228" t="str">
        <f>"2021206"</f>
        <v>2021206</v>
      </c>
      <c r="F228" t="str">
        <f>"TRANSPORT - A. LECHUGA"</f>
        <v>TRANSPORT - A. LECHUGA</v>
      </c>
      <c r="G228" s="3">
        <v>640</v>
      </c>
      <c r="H228" t="str">
        <f>"TRANSPORT - A. LECHUGA"</f>
        <v>TRANSPORT - A. LECHUGA</v>
      </c>
    </row>
    <row r="229" spans="1:8" x14ac:dyDescent="0.25">
      <c r="E229" t="str">
        <f>"2021208"</f>
        <v>2021208</v>
      </c>
      <c r="F229" t="str">
        <f>"TRANSPORT - A. CALVERY"</f>
        <v>TRANSPORT - A. CALVERY</v>
      </c>
      <c r="G229" s="3">
        <v>295</v>
      </c>
      <c r="H229" t="str">
        <f>"TRANSPORT - A. CALVERY"</f>
        <v>TRANSPORT - A. CALVERY</v>
      </c>
    </row>
    <row r="230" spans="1:8" x14ac:dyDescent="0.25">
      <c r="E230" t="str">
        <f>"2021209"</f>
        <v>2021209</v>
      </c>
      <c r="F230" t="str">
        <f>"TRANSPORT - M. MARTINEZ"</f>
        <v>TRANSPORT - M. MARTINEZ</v>
      </c>
      <c r="G230" s="3">
        <v>640</v>
      </c>
      <c r="H230" t="str">
        <f>"TRANSPORT - M. MARTINEZ"</f>
        <v>TRANSPORT - M. MARTINEZ</v>
      </c>
    </row>
    <row r="231" spans="1:8" x14ac:dyDescent="0.25">
      <c r="E231" t="str">
        <f>"2021210"</f>
        <v>2021210</v>
      </c>
      <c r="F231" t="str">
        <f>"TRANSPORT - S. HOUSEY"</f>
        <v>TRANSPORT - S. HOUSEY</v>
      </c>
      <c r="G231" s="3">
        <v>640</v>
      </c>
      <c r="H231" t="str">
        <f>"TRANSPORT - S. HOUSEY"</f>
        <v>TRANSPORT - S. HOUSEY</v>
      </c>
    </row>
    <row r="232" spans="1:8" x14ac:dyDescent="0.25">
      <c r="E232" t="str">
        <f>"2021211"</f>
        <v>2021211</v>
      </c>
      <c r="F232" t="str">
        <f>"TRANSPORT - R. SIFUENTES"</f>
        <v>TRANSPORT - R. SIFUENTES</v>
      </c>
      <c r="G232" s="3">
        <v>640</v>
      </c>
      <c r="H232" t="str">
        <f>"TRANSPORT - R. SIFUENTES"</f>
        <v>TRANSPORT - R. SIFUENTES</v>
      </c>
    </row>
    <row r="233" spans="1:8" x14ac:dyDescent="0.25">
      <c r="E233" t="str">
        <f>"2021214"</f>
        <v>2021214</v>
      </c>
      <c r="F233" t="str">
        <f>"TRANSPORT - MARK WORK"</f>
        <v>TRANSPORT - MARK WORK</v>
      </c>
      <c r="G233" s="3">
        <v>640</v>
      </c>
      <c r="H233" t="str">
        <f>"TRANSPORT - MARK WORK"</f>
        <v>TRANSPORT - MARK WORK</v>
      </c>
    </row>
    <row r="234" spans="1:8" x14ac:dyDescent="0.25">
      <c r="A234" t="s">
        <v>43</v>
      </c>
      <c r="B234">
        <v>5175</v>
      </c>
      <c r="C234" s="3">
        <v>2555</v>
      </c>
      <c r="D234" s="4">
        <v>44482</v>
      </c>
      <c r="E234" t="str">
        <f>"202110045979"</f>
        <v>202110045979</v>
      </c>
      <c r="F234" t="str">
        <f>"BACKGROUND SVCS/COMM"</f>
        <v>BACKGROUND SVCS/COMM</v>
      </c>
      <c r="G234" s="3">
        <v>280</v>
      </c>
      <c r="H234" t="str">
        <f>"BACKGROUND SVCS/COMM"</f>
        <v>BACKGROUND SVCS/COMM</v>
      </c>
    </row>
    <row r="235" spans="1:8" x14ac:dyDescent="0.25">
      <c r="E235" t="str">
        <f>"202110066130"</f>
        <v>202110066130</v>
      </c>
      <c r="F235" t="str">
        <f>"SEPTEMBER SERVICES"</f>
        <v>SEPTEMBER SERVICES</v>
      </c>
      <c r="G235" s="3">
        <v>2030</v>
      </c>
      <c r="H235" t="str">
        <f>"SEPTEMBER - JAIL"</f>
        <v>SEPTEMBER - JAIL</v>
      </c>
    </row>
    <row r="236" spans="1:8" x14ac:dyDescent="0.25">
      <c r="E236" t="str">
        <f>""</f>
        <v/>
      </c>
      <c r="F236" t="str">
        <f>""</f>
        <v/>
      </c>
      <c r="G236" s="3">
        <v>245</v>
      </c>
      <c r="H236" t="str">
        <f>"SEPTEMBER - LE"</f>
        <v>SEPTEMBER - LE</v>
      </c>
    </row>
    <row r="237" spans="1:8" x14ac:dyDescent="0.25">
      <c r="A237" t="s">
        <v>44</v>
      </c>
      <c r="B237">
        <v>137216</v>
      </c>
      <c r="C237" s="3">
        <v>1554.57</v>
      </c>
      <c r="D237" s="4">
        <v>44481</v>
      </c>
      <c r="E237" t="str">
        <f>"761254016 76128183"</f>
        <v>761254016 76128183</v>
      </c>
      <c r="F237" t="str">
        <f>"INV 76125401  76128183"</f>
        <v>INV 76125401  76128183</v>
      </c>
      <c r="G237" s="3">
        <v>827.55</v>
      </c>
      <c r="H237" t="str">
        <f>"INV 76125401"</f>
        <v>INV 76125401</v>
      </c>
    </row>
    <row r="238" spans="1:8" x14ac:dyDescent="0.25">
      <c r="E238" t="str">
        <f>""</f>
        <v/>
      </c>
      <c r="F238" t="str">
        <f>""</f>
        <v/>
      </c>
      <c r="G238" s="3">
        <v>647.41999999999996</v>
      </c>
      <c r="H238" t="str">
        <f>"INV 76128183"</f>
        <v>INV 76128183</v>
      </c>
    </row>
    <row r="239" spans="1:8" x14ac:dyDescent="0.25">
      <c r="E239" t="str">
        <f>"76130612"</f>
        <v>76130612</v>
      </c>
      <c r="F239" t="str">
        <f>"INV 76130612"</f>
        <v>INV 76130612</v>
      </c>
      <c r="G239" s="3">
        <v>79.599999999999994</v>
      </c>
      <c r="H239" t="str">
        <f>"INV 76130612"</f>
        <v>INV 76130612</v>
      </c>
    </row>
    <row r="240" spans="1:8" x14ac:dyDescent="0.25">
      <c r="A240" t="s">
        <v>44</v>
      </c>
      <c r="B240">
        <v>137446</v>
      </c>
      <c r="C240" s="3">
        <v>3606.69</v>
      </c>
      <c r="D240" s="4">
        <v>44494</v>
      </c>
      <c r="E240" t="str">
        <f>"76134889/76136091"</f>
        <v>76134889/76136091</v>
      </c>
      <c r="F240" t="str">
        <f>"INV 76134889  76136091  7"</f>
        <v>INV 76134889  76136091  7</v>
      </c>
      <c r="G240" s="3">
        <v>279.60000000000002</v>
      </c>
      <c r="H240" t="str">
        <f>"INV 76134889"</f>
        <v>INV 76134889</v>
      </c>
    </row>
    <row r="241" spans="1:8" x14ac:dyDescent="0.25">
      <c r="E241" t="str">
        <f>""</f>
        <v/>
      </c>
      <c r="F241" t="str">
        <f>""</f>
        <v/>
      </c>
      <c r="G241" s="3">
        <v>586.54</v>
      </c>
      <c r="H241" t="str">
        <f>"INV 76136091"</f>
        <v>INV 76136091</v>
      </c>
    </row>
    <row r="242" spans="1:8" x14ac:dyDescent="0.25">
      <c r="E242" t="str">
        <f>""</f>
        <v/>
      </c>
      <c r="F242" t="str">
        <f>""</f>
        <v/>
      </c>
      <c r="G242" s="3">
        <v>279.60000000000002</v>
      </c>
      <c r="H242" t="str">
        <f>"INV 76140910"</f>
        <v>INV 76140910</v>
      </c>
    </row>
    <row r="243" spans="1:8" x14ac:dyDescent="0.25">
      <c r="E243" t="str">
        <f>""</f>
        <v/>
      </c>
      <c r="F243" t="str">
        <f>""</f>
        <v/>
      </c>
      <c r="G243" s="3">
        <v>895.79</v>
      </c>
      <c r="H243" t="str">
        <f>"INV 76146226"</f>
        <v>INV 76146226</v>
      </c>
    </row>
    <row r="244" spans="1:8" x14ac:dyDescent="0.25">
      <c r="E244" t="str">
        <f>""</f>
        <v/>
      </c>
      <c r="F244" t="str">
        <f>""</f>
        <v/>
      </c>
      <c r="G244" s="3">
        <v>634.20000000000005</v>
      </c>
      <c r="H244" t="str">
        <f>"INV 76146470"</f>
        <v>INV 76146470</v>
      </c>
    </row>
    <row r="245" spans="1:8" x14ac:dyDescent="0.25">
      <c r="E245" t="str">
        <f>""</f>
        <v/>
      </c>
      <c r="F245" t="str">
        <f>""</f>
        <v/>
      </c>
      <c r="G245" s="3">
        <v>930.96</v>
      </c>
      <c r="H245" t="str">
        <f>"INV 76156636"</f>
        <v>INV 76156636</v>
      </c>
    </row>
    <row r="246" spans="1:8" x14ac:dyDescent="0.25">
      <c r="A246" t="s">
        <v>45</v>
      </c>
      <c r="B246">
        <v>5230</v>
      </c>
      <c r="C246" s="3">
        <v>4446.4399999999996</v>
      </c>
      <c r="D246" s="4">
        <v>44482</v>
      </c>
      <c r="E246" t="str">
        <f>"25396"</f>
        <v>25396</v>
      </c>
      <c r="F246" t="str">
        <f>"INV 25396"</f>
        <v>INV 25396</v>
      </c>
      <c r="G246" s="3">
        <v>4446.4399999999996</v>
      </c>
      <c r="H246" t="str">
        <f>"INV 25396"</f>
        <v>INV 25396</v>
      </c>
    </row>
    <row r="247" spans="1:8" x14ac:dyDescent="0.25">
      <c r="A247" t="s">
        <v>46</v>
      </c>
      <c r="B247">
        <v>137447</v>
      </c>
      <c r="C247" s="3">
        <v>18665.189999999999</v>
      </c>
      <c r="D247" s="4">
        <v>44494</v>
      </c>
      <c r="E247" t="str">
        <f>"S1280200"</f>
        <v>S1280200</v>
      </c>
      <c r="F247" t="str">
        <f>"CUST#27986/PCT#4"</f>
        <v>CUST#27986/PCT#4</v>
      </c>
      <c r="G247" s="3">
        <v>11814.12</v>
      </c>
      <c r="H247" t="str">
        <f>"CUST#27986/PCT#4"</f>
        <v>CUST#27986/PCT#4</v>
      </c>
    </row>
    <row r="248" spans="1:8" x14ac:dyDescent="0.25">
      <c r="E248" t="str">
        <f>"S1280903"</f>
        <v>S1280903</v>
      </c>
      <c r="F248" t="str">
        <f>"CUST ID:C27986/PCT#4"</f>
        <v>CUST ID:C27986/PCT#4</v>
      </c>
      <c r="G248" s="3">
        <v>6851.07</v>
      </c>
      <c r="H248" t="str">
        <f>"CUST ID:C27986/PCT#4"</f>
        <v>CUST ID:C27986/PCT#4</v>
      </c>
    </row>
    <row r="249" spans="1:8" x14ac:dyDescent="0.25">
      <c r="A249" t="s">
        <v>47</v>
      </c>
      <c r="B249">
        <v>5197</v>
      </c>
      <c r="C249" s="3">
        <v>278.44</v>
      </c>
      <c r="D249" s="4">
        <v>44482</v>
      </c>
      <c r="E249" t="str">
        <f>"6329"</f>
        <v>6329</v>
      </c>
      <c r="F249" t="str">
        <f>"2007 INTERNATIONAL/PCT#1"</f>
        <v>2007 INTERNATIONAL/PCT#1</v>
      </c>
      <c r="G249" s="3">
        <v>118.01</v>
      </c>
      <c r="H249" t="str">
        <f>"2007 INTERNATIONAL/PCT#1"</f>
        <v>2007 INTERNATIONAL/PCT#1</v>
      </c>
    </row>
    <row r="250" spans="1:8" x14ac:dyDescent="0.25">
      <c r="E250" t="str">
        <f>"6355"</f>
        <v>6355</v>
      </c>
      <c r="F250" t="str">
        <f>"2007INTERNATIONAL/PCT#1"</f>
        <v>2007INTERNATIONAL/PCT#1</v>
      </c>
      <c r="G250" s="3">
        <v>160.43</v>
      </c>
      <c r="H250" t="str">
        <f>"2007INTERNATIONAL/PCT#1"</f>
        <v>2007INTERNATIONAL/PCT#1</v>
      </c>
    </row>
    <row r="251" spans="1:8" x14ac:dyDescent="0.25">
      <c r="A251" t="s">
        <v>47</v>
      </c>
      <c r="B251">
        <v>5276</v>
      </c>
      <c r="C251" s="3">
        <v>351.12</v>
      </c>
      <c r="D251" s="4">
        <v>44495</v>
      </c>
      <c r="E251" t="str">
        <f>"6368"</f>
        <v>6368</v>
      </c>
      <c r="F251" t="str">
        <f>"SERVICE UNIT 8858 PCT1"</f>
        <v>SERVICE UNIT 8858 PCT1</v>
      </c>
      <c r="G251" s="3">
        <v>351.12</v>
      </c>
      <c r="H251" t="str">
        <f>"SERVICE UNIT 8858 PCT1"</f>
        <v>SERVICE UNIT 8858 PCT1</v>
      </c>
    </row>
    <row r="252" spans="1:8" x14ac:dyDescent="0.25">
      <c r="A252" t="s">
        <v>48</v>
      </c>
      <c r="B252">
        <v>137217</v>
      </c>
      <c r="C252" s="3">
        <v>714.24</v>
      </c>
      <c r="D252" s="4">
        <v>44481</v>
      </c>
      <c r="E252" t="str">
        <f>"84048400978"</f>
        <v>84048400978</v>
      </c>
      <c r="F252" t="str">
        <f>"INV 84048400978"</f>
        <v>INV 84048400978</v>
      </c>
      <c r="G252" s="3">
        <v>415.2</v>
      </c>
      <c r="H252" t="str">
        <f>"INV 84048400978"</f>
        <v>INV 84048400978</v>
      </c>
    </row>
    <row r="253" spans="1:8" x14ac:dyDescent="0.25">
      <c r="E253" t="str">
        <f>"84048401054"</f>
        <v>84048401054</v>
      </c>
      <c r="F253" t="str">
        <f>"INV 84048401054"</f>
        <v>INV 84048401054</v>
      </c>
      <c r="G253" s="3">
        <v>299.04000000000002</v>
      </c>
      <c r="H253" t="str">
        <f>"INV 84048401054"</f>
        <v>INV 84048401054</v>
      </c>
    </row>
    <row r="254" spans="1:8" x14ac:dyDescent="0.25">
      <c r="A254" t="s">
        <v>48</v>
      </c>
      <c r="B254">
        <v>137448</v>
      </c>
      <c r="C254" s="3">
        <v>637.32000000000005</v>
      </c>
      <c r="D254" s="4">
        <v>44494</v>
      </c>
      <c r="E254" t="str">
        <f>"84048401112/840484"</f>
        <v>84048401112/840484</v>
      </c>
      <c r="F254" t="str">
        <f>"INV 84048401112  84048401"</f>
        <v>INV 84048401112  84048401</v>
      </c>
      <c r="G254" s="3">
        <v>282</v>
      </c>
      <c r="H254" t="str">
        <f>"INV 84048401112"</f>
        <v>INV 84048401112</v>
      </c>
    </row>
    <row r="255" spans="1:8" x14ac:dyDescent="0.25">
      <c r="E255" t="str">
        <f>""</f>
        <v/>
      </c>
      <c r="F255" t="str">
        <f>""</f>
        <v/>
      </c>
      <c r="G255" s="3">
        <v>355.32</v>
      </c>
      <c r="H255" t="str">
        <f>"INV 84048401153"</f>
        <v>INV 84048401153</v>
      </c>
    </row>
    <row r="256" spans="1:8" x14ac:dyDescent="0.25">
      <c r="A256" t="s">
        <v>49</v>
      </c>
      <c r="B256">
        <v>137218</v>
      </c>
      <c r="C256" s="3">
        <v>1590</v>
      </c>
      <c r="D256" s="4">
        <v>44481</v>
      </c>
      <c r="E256" t="str">
        <f>"202110066122"</f>
        <v>202110066122</v>
      </c>
      <c r="F256" t="str">
        <f>"BLANCO COUNTY"</f>
        <v>BLANCO COUNTY</v>
      </c>
      <c r="G256" s="3">
        <v>1470</v>
      </c>
      <c r="H256" t="str">
        <f>"Cart with Suncover"</f>
        <v>Cart with Suncover</v>
      </c>
    </row>
    <row r="257" spans="1:8" x14ac:dyDescent="0.25">
      <c r="E257" t="str">
        <f>""</f>
        <v/>
      </c>
      <c r="F257" t="str">
        <f>""</f>
        <v/>
      </c>
      <c r="G257" s="3">
        <v>120</v>
      </c>
      <c r="H257" t="str">
        <f>"Cover Trans Rain"</f>
        <v>Cover Trans Rain</v>
      </c>
    </row>
    <row r="258" spans="1:8" x14ac:dyDescent="0.25">
      <c r="A258" t="s">
        <v>50</v>
      </c>
      <c r="B258">
        <v>5191</v>
      </c>
      <c r="C258" s="3">
        <v>1000</v>
      </c>
      <c r="D258" s="4">
        <v>44482</v>
      </c>
      <c r="E258" t="str">
        <f>"202110066097"</f>
        <v>202110066097</v>
      </c>
      <c r="F258" t="str">
        <f>"57-882"</f>
        <v>57-882</v>
      </c>
      <c r="G258" s="3">
        <v>250</v>
      </c>
      <c r="H258" t="str">
        <f>"57-882"</f>
        <v>57-882</v>
      </c>
    </row>
    <row r="259" spans="1:8" x14ac:dyDescent="0.25">
      <c r="E259" t="str">
        <f>"202110066098"</f>
        <v>202110066098</v>
      </c>
      <c r="F259" t="str">
        <f>"301052020A"</f>
        <v>301052020A</v>
      </c>
      <c r="G259" s="3">
        <v>250</v>
      </c>
      <c r="H259" t="str">
        <f>"301052020A"</f>
        <v>301052020A</v>
      </c>
    </row>
    <row r="260" spans="1:8" x14ac:dyDescent="0.25">
      <c r="E260" t="str">
        <f>"202110066099"</f>
        <v>202110066099</v>
      </c>
      <c r="F260" t="str">
        <f>"409199-2"</f>
        <v>409199-2</v>
      </c>
      <c r="G260" s="3">
        <v>250</v>
      </c>
      <c r="H260" t="str">
        <f>"409199-2"</f>
        <v>409199-2</v>
      </c>
    </row>
    <row r="261" spans="1:8" x14ac:dyDescent="0.25">
      <c r="E261" t="str">
        <f>"202110066100"</f>
        <v>202110066100</v>
      </c>
      <c r="F261" t="str">
        <f>"57-858"</f>
        <v>57-858</v>
      </c>
      <c r="G261" s="3">
        <v>250</v>
      </c>
      <c r="H261" t="str">
        <f>"57-858"</f>
        <v>57-858</v>
      </c>
    </row>
    <row r="262" spans="1:8" x14ac:dyDescent="0.25">
      <c r="A262" t="s">
        <v>51</v>
      </c>
      <c r="B262">
        <v>137449</v>
      </c>
      <c r="C262" s="3">
        <v>207.57</v>
      </c>
      <c r="D262" s="4">
        <v>44494</v>
      </c>
      <c r="E262" t="str">
        <f>"202110156545"</f>
        <v>202110156545</v>
      </c>
      <c r="F262" t="str">
        <f>"CRIMESTOPPER FEES SEPT 2021"</f>
        <v>CRIMESTOPPER FEES SEPT 2021</v>
      </c>
      <c r="G262" s="3">
        <v>207.57</v>
      </c>
      <c r="H262" t="str">
        <f>"CRIMESTOPPER FEES SEPT 2021"</f>
        <v>CRIMESTOPPER FEES SEPT 2021</v>
      </c>
    </row>
    <row r="263" spans="1:8" x14ac:dyDescent="0.25">
      <c r="A263" t="s">
        <v>52</v>
      </c>
      <c r="B263">
        <v>5237</v>
      </c>
      <c r="C263" s="3">
        <v>27039.03</v>
      </c>
      <c r="D263" s="4">
        <v>44482</v>
      </c>
      <c r="E263" t="str">
        <f>"202110056076"</f>
        <v>202110056076</v>
      </c>
      <c r="F263" t="str">
        <f>"GRANT REIMBURSEMENT"</f>
        <v>GRANT REIMBURSEMENT</v>
      </c>
      <c r="G263" s="3">
        <v>27039.03</v>
      </c>
      <c r="H263" t="str">
        <f>"GRANT REIMBURSEMENT"</f>
        <v>GRANT REIMBURSEMENT</v>
      </c>
    </row>
    <row r="264" spans="1:8" x14ac:dyDescent="0.25">
      <c r="A264" t="s">
        <v>52</v>
      </c>
      <c r="B264">
        <v>5313</v>
      </c>
      <c r="C264" s="3">
        <v>1400</v>
      </c>
      <c r="D264" s="4">
        <v>44495</v>
      </c>
      <c r="E264" t="str">
        <f>"25092021"</f>
        <v>25092021</v>
      </c>
      <c r="F264" t="str">
        <f>"INV 25092021"</f>
        <v>INV 25092021</v>
      </c>
      <c r="G264" s="3">
        <v>1400</v>
      </c>
      <c r="H264" t="str">
        <f>"INV 25092021"</f>
        <v>INV 25092021</v>
      </c>
    </row>
    <row r="265" spans="1:8" x14ac:dyDescent="0.25">
      <c r="A265" t="s">
        <v>53</v>
      </c>
      <c r="B265">
        <v>137219</v>
      </c>
      <c r="C265" s="3">
        <v>2179.6999999999998</v>
      </c>
      <c r="D265" s="4">
        <v>44481</v>
      </c>
      <c r="E265" t="str">
        <f>"18110/UNIT 8153"</f>
        <v>18110/UNIT 8153</v>
      </c>
      <c r="F265" t="str">
        <f>"INV 18110 / UNIT 8153"</f>
        <v>INV 18110 / UNIT 8153</v>
      </c>
      <c r="G265" s="3">
        <v>1675</v>
      </c>
      <c r="H265" t="str">
        <f>"INV 18110 / UNIT 8153"</f>
        <v>INV 18110 / UNIT 8153</v>
      </c>
    </row>
    <row r="266" spans="1:8" x14ac:dyDescent="0.25">
      <c r="E266" t="str">
        <f>"18157/UNIT 6486"</f>
        <v>18157/UNIT 6486</v>
      </c>
      <c r="F266" t="str">
        <f>"INV 18157 / UNIT 6486"</f>
        <v>INV 18157 / UNIT 6486</v>
      </c>
      <c r="G266" s="3">
        <v>504.7</v>
      </c>
      <c r="H266" t="str">
        <f>"INV 18157 / UNIT 6486"</f>
        <v>INV 18157 / UNIT 6486</v>
      </c>
    </row>
    <row r="267" spans="1:8" x14ac:dyDescent="0.25">
      <c r="A267" t="s">
        <v>54</v>
      </c>
      <c r="B267">
        <v>137220</v>
      </c>
      <c r="C267" s="3">
        <v>1887.2</v>
      </c>
      <c r="D267" s="4">
        <v>44481</v>
      </c>
      <c r="E267" t="str">
        <f>"CT197352"</f>
        <v>CT197352</v>
      </c>
      <c r="F267" t="str">
        <f>"ACCT#B02137/PCT#3"</f>
        <v>ACCT#B02137/PCT#3</v>
      </c>
      <c r="G267" s="3">
        <v>1887.2</v>
      </c>
      <c r="H267" t="str">
        <f>"ACCT#B02137/PCT#3"</f>
        <v>ACCT#B02137/PCT#3</v>
      </c>
    </row>
    <row r="268" spans="1:8" x14ac:dyDescent="0.25">
      <c r="A268" t="s">
        <v>54</v>
      </c>
      <c r="B268">
        <v>137450</v>
      </c>
      <c r="C268" s="3">
        <v>1488.96</v>
      </c>
      <c r="D268" s="4">
        <v>44494</v>
      </c>
      <c r="E268" t="str">
        <f>"CT201117"</f>
        <v>CT201117</v>
      </c>
      <c r="F268" t="str">
        <f>"ACCT#B02137/PCT#3"</f>
        <v>ACCT#B02137/PCT#3</v>
      </c>
      <c r="G268" s="3">
        <v>1488.96</v>
      </c>
      <c r="H268" t="str">
        <f>"ACCT#B02137/PCT#3"</f>
        <v>ACCT#B02137/PCT#3</v>
      </c>
    </row>
    <row r="269" spans="1:8" x14ac:dyDescent="0.25">
      <c r="A269" t="s">
        <v>55</v>
      </c>
      <c r="B269">
        <v>137451</v>
      </c>
      <c r="C269" s="3">
        <v>2035.2</v>
      </c>
      <c r="D269" s="4">
        <v>44494</v>
      </c>
      <c r="E269" t="str">
        <f>"13516452"</f>
        <v>13516452</v>
      </c>
      <c r="F269" t="str">
        <f>"CUST#300362/ORD#53896769"</f>
        <v>CUST#300362/ORD#53896769</v>
      </c>
      <c r="G269" s="3">
        <v>885.9</v>
      </c>
      <c r="H269" t="str">
        <f>"CUST#300362/ORD#53896769"</f>
        <v>CUST#300362/ORD#53896769</v>
      </c>
    </row>
    <row r="270" spans="1:8" x14ac:dyDescent="0.25">
      <c r="E270" t="str">
        <f>"13549213"</f>
        <v>13549213</v>
      </c>
      <c r="F270" t="str">
        <f>"CUST#300362/ORD#53924399"</f>
        <v>CUST#300362/ORD#53924399</v>
      </c>
      <c r="G270" s="3">
        <v>1149.3</v>
      </c>
      <c r="H270" t="str">
        <f>"CUST#300362/ORD#53924399"</f>
        <v>CUST#300362/ORD#53924399</v>
      </c>
    </row>
    <row r="271" spans="1:8" x14ac:dyDescent="0.25">
      <c r="A271" t="s">
        <v>56</v>
      </c>
      <c r="B271">
        <v>137221</v>
      </c>
      <c r="C271" s="3">
        <v>2450</v>
      </c>
      <c r="D271" s="4">
        <v>44481</v>
      </c>
      <c r="E271" t="str">
        <f>"00044686"</f>
        <v>00044686</v>
      </c>
      <c r="F271" t="str">
        <f>"BONS BARRICADES  INC"</f>
        <v>BONS BARRICADES  INC</v>
      </c>
      <c r="G271" s="3">
        <v>1225</v>
      </c>
      <c r="H271" t="str">
        <f>"Traffic Contol 9-16"</f>
        <v>Traffic Contol 9-16</v>
      </c>
    </row>
    <row r="272" spans="1:8" x14ac:dyDescent="0.25">
      <c r="E272" t="str">
        <f>""</f>
        <v/>
      </c>
      <c r="F272" t="str">
        <f>""</f>
        <v/>
      </c>
      <c r="G272" s="3">
        <v>1225</v>
      </c>
      <c r="H272" t="str">
        <f>"Traffic Control 9-21"</f>
        <v>Traffic Control 9-21</v>
      </c>
    </row>
    <row r="273" spans="1:8" x14ac:dyDescent="0.25">
      <c r="A273" t="s">
        <v>57</v>
      </c>
      <c r="B273">
        <v>137222</v>
      </c>
      <c r="C273" s="3">
        <v>2500</v>
      </c>
      <c r="D273" s="4">
        <v>44481</v>
      </c>
      <c r="E273" t="str">
        <f>"202110045977"</f>
        <v>202110045977</v>
      </c>
      <c r="F273" t="str">
        <f>"FY 2021-2022 FUNDING"</f>
        <v>FY 2021-2022 FUNDING</v>
      </c>
      <c r="G273" s="3">
        <v>2500</v>
      </c>
      <c r="H273" t="str">
        <f>"FY 2021-2022 FUNDING"</f>
        <v>FY 2021-2022 FUNDING</v>
      </c>
    </row>
    <row r="274" spans="1:8" x14ac:dyDescent="0.25">
      <c r="A274" t="s">
        <v>58</v>
      </c>
      <c r="B274">
        <v>137223</v>
      </c>
      <c r="C274" s="3">
        <v>12789.19</v>
      </c>
      <c r="D274" s="4">
        <v>44481</v>
      </c>
      <c r="E274" t="str">
        <f>"127621-1"</f>
        <v>127621-1</v>
      </c>
      <c r="F274" t="str">
        <f>"ACCT#1268/PCT#3"</f>
        <v>ACCT#1268/PCT#3</v>
      </c>
      <c r="G274" s="3">
        <v>8805.5400000000009</v>
      </c>
      <c r="H274" t="str">
        <f>"ACCT#1268/PCT#3"</f>
        <v>ACCT#1268/PCT#3</v>
      </c>
    </row>
    <row r="275" spans="1:8" x14ac:dyDescent="0.25">
      <c r="E275" t="str">
        <f>"127623"</f>
        <v>127623</v>
      </c>
      <c r="F275" t="str">
        <f>"ACCT#1267/PCT#2"</f>
        <v>ACCT#1267/PCT#2</v>
      </c>
      <c r="G275" s="3">
        <v>911.8</v>
      </c>
      <c r="H275" t="str">
        <f>"ACCT#1267/PCT#2"</f>
        <v>ACCT#1267/PCT#2</v>
      </c>
    </row>
    <row r="276" spans="1:8" x14ac:dyDescent="0.25">
      <c r="E276" t="str">
        <f>"127625"</f>
        <v>127625</v>
      </c>
      <c r="F276" t="str">
        <f>"ACCT#1268/PCT#3"</f>
        <v>ACCT#1268/PCT#3</v>
      </c>
      <c r="G276" s="3">
        <v>2155.65</v>
      </c>
      <c r="H276" t="str">
        <f>"ACCT#1268/PCT#3"</f>
        <v>ACCT#1268/PCT#3</v>
      </c>
    </row>
    <row r="277" spans="1:8" x14ac:dyDescent="0.25">
      <c r="E277" t="str">
        <f>"127846"</f>
        <v>127846</v>
      </c>
      <c r="F277" t="str">
        <f>"ACCT#1267/PCT#2"</f>
        <v>ACCT#1267/PCT#2</v>
      </c>
      <c r="G277" s="3">
        <v>916.2</v>
      </c>
      <c r="H277" t="str">
        <f>"ACCT#1267/PCT#2"</f>
        <v>ACCT#1267/PCT#2</v>
      </c>
    </row>
    <row r="278" spans="1:8" x14ac:dyDescent="0.25">
      <c r="A278" t="s">
        <v>58</v>
      </c>
      <c r="B278">
        <v>137452</v>
      </c>
      <c r="C278" s="3">
        <v>46020.03</v>
      </c>
      <c r="D278" s="4">
        <v>44494</v>
      </c>
      <c r="E278" t="str">
        <f>"127341"</f>
        <v>127341</v>
      </c>
      <c r="F278" t="str">
        <f>"ACCT#1268/COMM BASE/PCT#3"</f>
        <v>ACCT#1268/COMM BASE/PCT#3</v>
      </c>
      <c r="G278" s="3">
        <v>2785.24</v>
      </c>
      <c r="H278" t="str">
        <f>"ACCT#1268/COMM BASE/PCT#3"</f>
        <v>ACCT#1268/COMM BASE/PCT#3</v>
      </c>
    </row>
    <row r="279" spans="1:8" x14ac:dyDescent="0.25">
      <c r="E279" t="str">
        <f>"127848"</f>
        <v>127848</v>
      </c>
      <c r="F279" t="str">
        <f>"ACCT#1268/COMM BASE/PCT#3"</f>
        <v>ACCT#1268/COMM BASE/PCT#3</v>
      </c>
      <c r="G279" s="3">
        <v>307.02999999999997</v>
      </c>
      <c r="H279" t="str">
        <f>"ACCT#1268/COMM BASE/PCT#3"</f>
        <v>ACCT#1268/COMM BASE/PCT#3</v>
      </c>
    </row>
    <row r="280" spans="1:8" x14ac:dyDescent="0.25">
      <c r="E280" t="str">
        <f>"127984"</f>
        <v>127984</v>
      </c>
      <c r="F280" t="str">
        <f>"ACCT#1268/HMCL TYPE D/PCT#3"</f>
        <v>ACCT#1268/HMCL TYPE D/PCT#3</v>
      </c>
      <c r="G280" s="3">
        <v>2947.2</v>
      </c>
      <c r="H280" t="str">
        <f>"ACCT#1268/HMCL TYPE D/PCT#3"</f>
        <v>ACCT#1268/HMCL TYPE D/PCT#3</v>
      </c>
    </row>
    <row r="281" spans="1:8" x14ac:dyDescent="0.25">
      <c r="E281" t="str">
        <f>"127985"</f>
        <v>127985</v>
      </c>
      <c r="F281" t="str">
        <f>"ACCT#1268/COMM BASE/PCT#3"</f>
        <v>ACCT#1268/COMM BASE/PCT#3</v>
      </c>
      <c r="G281" s="3">
        <v>203.41</v>
      </c>
      <c r="H281" t="str">
        <f>"ACCT#1268/COMM BASE/PCT#3"</f>
        <v>ACCT#1268/COMM BASE/PCT#3</v>
      </c>
    </row>
    <row r="282" spans="1:8" x14ac:dyDescent="0.25">
      <c r="E282" t="str">
        <f>"128121"</f>
        <v>128121</v>
      </c>
      <c r="F282" t="str">
        <f>"ACCT#1267/PCT#2"</f>
        <v>ACCT#1267/PCT#2</v>
      </c>
      <c r="G282" s="3">
        <v>908.8</v>
      </c>
      <c r="H282" t="str">
        <f>"ACCT#1267/PCT#2"</f>
        <v>ACCT#1267/PCT#2</v>
      </c>
    </row>
    <row r="283" spans="1:8" x14ac:dyDescent="0.25">
      <c r="E283" t="str">
        <f>"128122"</f>
        <v>128122</v>
      </c>
      <c r="F283" t="str">
        <f>"ACCT#1268/PCT#3"</f>
        <v>ACCT#1268/PCT#3</v>
      </c>
      <c r="G283" s="3">
        <v>34752.269999999997</v>
      </c>
      <c r="H283" t="str">
        <f>"ACCT#1268/PCT#3"</f>
        <v>ACCT#1268/PCT#3</v>
      </c>
    </row>
    <row r="284" spans="1:8" x14ac:dyDescent="0.25">
      <c r="E284" t="str">
        <f>"128123"</f>
        <v>128123</v>
      </c>
      <c r="F284" t="str">
        <f>"ACCT#1268/COMM BASE/PCT#3"</f>
        <v>ACCT#1268/COMM BASE/PCT#3</v>
      </c>
      <c r="G284" s="3">
        <v>981.27</v>
      </c>
      <c r="H284" t="str">
        <f>"ACCT#1268/COMM BASE/PCT#3"</f>
        <v>ACCT#1268/COMM BASE/PCT#3</v>
      </c>
    </row>
    <row r="285" spans="1:8" x14ac:dyDescent="0.25">
      <c r="E285" t="str">
        <f>"128367"</f>
        <v>128367</v>
      </c>
      <c r="F285" t="str">
        <f>"ACCT#1267/PCT#2"</f>
        <v>ACCT#1267/PCT#2</v>
      </c>
      <c r="G285" s="3">
        <v>2724</v>
      </c>
      <c r="H285" t="str">
        <f>"ACCT#1267/PCT#2"</f>
        <v>ACCT#1267/PCT#2</v>
      </c>
    </row>
    <row r="286" spans="1:8" x14ac:dyDescent="0.25">
      <c r="E286" t="str">
        <f>"128368"</f>
        <v>128368</v>
      </c>
      <c r="F286" t="str">
        <f>"ACCT#1268/COMM BASE/PCT#3"</f>
        <v>ACCT#1268/COMM BASE/PCT#3</v>
      </c>
      <c r="G286" s="3">
        <v>410.81</v>
      </c>
      <c r="H286" t="str">
        <f>"ACCT#1268/COMM BASE/PCT#3"</f>
        <v>ACCT#1268/COMM BASE/PCT#3</v>
      </c>
    </row>
    <row r="287" spans="1:8" x14ac:dyDescent="0.25">
      <c r="A287" t="s">
        <v>59</v>
      </c>
      <c r="B287">
        <v>5241</v>
      </c>
      <c r="C287" s="3">
        <v>500</v>
      </c>
      <c r="D287" s="4">
        <v>44482</v>
      </c>
      <c r="E287" t="str">
        <f>"202109305939"</f>
        <v>202109305939</v>
      </c>
      <c r="F287" t="str">
        <f>"02-0807-7"</f>
        <v>02-0807-7</v>
      </c>
      <c r="G287" s="3">
        <v>250</v>
      </c>
      <c r="H287" t="str">
        <f>"02-0807-7"</f>
        <v>02-0807-7</v>
      </c>
    </row>
    <row r="288" spans="1:8" x14ac:dyDescent="0.25">
      <c r="E288" t="str">
        <f>"202110056028"</f>
        <v>202110056028</v>
      </c>
      <c r="F288" t="str">
        <f>"02-1204-4"</f>
        <v>02-1204-4</v>
      </c>
      <c r="G288" s="3">
        <v>250</v>
      </c>
      <c r="H288" t="str">
        <f>"02-1204-4"</f>
        <v>02-1204-4</v>
      </c>
    </row>
    <row r="289" spans="1:8" x14ac:dyDescent="0.25">
      <c r="A289" t="s">
        <v>59</v>
      </c>
      <c r="B289">
        <v>5319</v>
      </c>
      <c r="C289" s="3">
        <v>375</v>
      </c>
      <c r="D289" s="4">
        <v>44495</v>
      </c>
      <c r="E289" t="str">
        <f>"202110146468"</f>
        <v>202110146468</v>
      </c>
      <c r="F289" t="str">
        <f>"57 405"</f>
        <v>57 405</v>
      </c>
      <c r="G289" s="3">
        <v>250</v>
      </c>
      <c r="H289" t="str">
        <f>"57 405"</f>
        <v>57 405</v>
      </c>
    </row>
    <row r="290" spans="1:8" x14ac:dyDescent="0.25">
      <c r="E290" t="str">
        <f>"202110146469"</f>
        <v>202110146469</v>
      </c>
      <c r="F290" t="str">
        <f>"57 361"</f>
        <v>57 361</v>
      </c>
      <c r="G290" s="3">
        <v>125</v>
      </c>
      <c r="H290" t="str">
        <f>"57 361"</f>
        <v>57 361</v>
      </c>
    </row>
    <row r="291" spans="1:8" x14ac:dyDescent="0.25">
      <c r="A291" t="s">
        <v>60</v>
      </c>
      <c r="B291">
        <v>137224</v>
      </c>
      <c r="C291" s="3">
        <v>15</v>
      </c>
      <c r="D291" s="4">
        <v>44481</v>
      </c>
      <c r="E291" t="str">
        <f>"423-8110"</f>
        <v>423-8110</v>
      </c>
      <c r="F291" t="str">
        <f>"CAR FUND"</f>
        <v>CAR FUND</v>
      </c>
      <c r="G291" s="3">
        <v>15</v>
      </c>
      <c r="H291" t="str">
        <f>"CAR FUND"</f>
        <v>CAR FUND</v>
      </c>
    </row>
    <row r="292" spans="1:8" x14ac:dyDescent="0.25">
      <c r="A292" t="s">
        <v>60</v>
      </c>
      <c r="B292">
        <v>137453</v>
      </c>
      <c r="C292" s="3">
        <v>90</v>
      </c>
      <c r="D292" s="4">
        <v>44494</v>
      </c>
      <c r="E292" t="str">
        <f>"21-20940"</f>
        <v>21-20940</v>
      </c>
      <c r="F292" t="str">
        <f>"CENTRAL ADOPTION REGISTRY FUND"</f>
        <v>CENTRAL ADOPTION REGISTRY FUND</v>
      </c>
      <c r="G292" s="3">
        <v>15</v>
      </c>
      <c r="H292" t="str">
        <f>"CENTRAL ADOPTION REGISTRY FUND"</f>
        <v>CENTRAL ADOPTION REGISTRY FUND</v>
      </c>
    </row>
    <row r="293" spans="1:8" x14ac:dyDescent="0.25">
      <c r="E293" t="str">
        <f>"21-20942"</f>
        <v>21-20942</v>
      </c>
      <c r="F293" t="str">
        <f>"CAR FUND"</f>
        <v>CAR FUND</v>
      </c>
      <c r="G293" s="3">
        <v>15</v>
      </c>
      <c r="H293" t="str">
        <f>"CAR FUND"</f>
        <v>CAR FUND</v>
      </c>
    </row>
    <row r="294" spans="1:8" x14ac:dyDescent="0.25">
      <c r="E294" t="str">
        <f>"21-20944"</f>
        <v>21-20944</v>
      </c>
      <c r="F294" t="str">
        <f>"CAR FUND"</f>
        <v>CAR FUND</v>
      </c>
      <c r="G294" s="3">
        <v>15</v>
      </c>
      <c r="H294" t="str">
        <f>"CAR FUND"</f>
        <v>CAR FUND</v>
      </c>
    </row>
    <row r="295" spans="1:8" x14ac:dyDescent="0.25">
      <c r="E295" t="str">
        <f>"21-20954"</f>
        <v>21-20954</v>
      </c>
      <c r="F295" t="str">
        <f>"CENTRAL ADOPTION REGISTRY FUND"</f>
        <v>CENTRAL ADOPTION REGISTRY FUND</v>
      </c>
      <c r="G295" s="3">
        <v>15</v>
      </c>
      <c r="H295" t="str">
        <f>"CENTRAL ADOPTION REGISTRY FUND"</f>
        <v>CENTRAL ADOPTION REGISTRY FUND</v>
      </c>
    </row>
    <row r="296" spans="1:8" x14ac:dyDescent="0.25">
      <c r="E296" t="str">
        <f>"423-8135"</f>
        <v>423-8135</v>
      </c>
      <c r="F296" t="str">
        <f>"CENTRAL ADOPTION REGISTRY"</f>
        <v>CENTRAL ADOPTION REGISTRY</v>
      </c>
      <c r="G296" s="3">
        <v>15</v>
      </c>
      <c r="H296" t="str">
        <f>"CENTRAL ADOPTION REGISTRY"</f>
        <v>CENTRAL ADOPTION REGISTRY</v>
      </c>
    </row>
    <row r="297" spans="1:8" x14ac:dyDescent="0.25">
      <c r="E297" t="str">
        <f>"423-8150"</f>
        <v>423-8150</v>
      </c>
      <c r="F297" t="str">
        <f>"CENTRAL ADOPTION REGISTRY"</f>
        <v>CENTRAL ADOPTION REGISTRY</v>
      </c>
      <c r="G297" s="3">
        <v>15</v>
      </c>
      <c r="H297" t="str">
        <f>"CENTRAL ADOPTION REGISTRY"</f>
        <v>CENTRAL ADOPTION REGISTRY</v>
      </c>
    </row>
    <row r="298" spans="1:8" x14ac:dyDescent="0.25">
      <c r="A298" t="s">
        <v>61</v>
      </c>
      <c r="B298">
        <v>137588</v>
      </c>
      <c r="C298" s="3">
        <v>2111.25</v>
      </c>
      <c r="D298" s="4">
        <v>44497</v>
      </c>
      <c r="E298" t="str">
        <f>"202110286718"</f>
        <v>202110286718</v>
      </c>
      <c r="F298" t="str">
        <f>"COLLECTION OF JUDGMENT ON WRIT"</f>
        <v>COLLECTION OF JUDGMENT ON WRIT</v>
      </c>
      <c r="G298" s="3">
        <v>2111.25</v>
      </c>
      <c r="H298" t="str">
        <f>"COLLECTION OF JUDGMENT ON WRIT"</f>
        <v>COLLECTION OF JUDGMENT ON WRIT</v>
      </c>
    </row>
    <row r="299" spans="1:8" x14ac:dyDescent="0.25">
      <c r="A299" t="s">
        <v>62</v>
      </c>
      <c r="B299">
        <v>5292</v>
      </c>
      <c r="C299" s="3">
        <v>3500</v>
      </c>
      <c r="D299" s="4">
        <v>44495</v>
      </c>
      <c r="E299" t="str">
        <f>"139"</f>
        <v>139</v>
      </c>
      <c r="F299" t="str">
        <f>"REMOVE TREE HAUL OFF RB1"</f>
        <v>REMOVE TREE HAUL OFF RB1</v>
      </c>
      <c r="G299" s="3">
        <v>2000</v>
      </c>
      <c r="H299" t="str">
        <f>"REMOVE TREE HAUL OFF RB1"</f>
        <v>REMOVE TREE HAUL OFF RB1</v>
      </c>
    </row>
    <row r="300" spans="1:8" x14ac:dyDescent="0.25">
      <c r="E300" t="str">
        <f>"140"</f>
        <v>140</v>
      </c>
      <c r="F300" t="str">
        <f>"REMOVE OLD GATE PORT/RB1"</f>
        <v>REMOVE OLD GATE PORT/RB1</v>
      </c>
      <c r="G300" s="3">
        <v>1500</v>
      </c>
      <c r="H300" t="str">
        <f>"REMOVE OLD GATE PORT/RB1"</f>
        <v>REMOVE OLD GATE PORT/RB1</v>
      </c>
    </row>
    <row r="301" spans="1:8" x14ac:dyDescent="0.25">
      <c r="A301" t="s">
        <v>63</v>
      </c>
      <c r="B301">
        <v>137225</v>
      </c>
      <c r="C301" s="3">
        <v>135</v>
      </c>
      <c r="D301" s="4">
        <v>44481</v>
      </c>
      <c r="E301" t="str">
        <f>"202110066138"</f>
        <v>202110066138</v>
      </c>
      <c r="F301" t="str">
        <f>"PER DIEM"</f>
        <v>PER DIEM</v>
      </c>
      <c r="G301" s="3">
        <v>135</v>
      </c>
      <c r="H301" t="str">
        <f>"PER DIEM"</f>
        <v>PER DIEM</v>
      </c>
    </row>
    <row r="302" spans="1:8" x14ac:dyDescent="0.25">
      <c r="A302" t="s">
        <v>64</v>
      </c>
      <c r="B302">
        <v>137454</v>
      </c>
      <c r="C302" s="3">
        <v>4621</v>
      </c>
      <c r="D302" s="4">
        <v>44494</v>
      </c>
      <c r="E302" t="str">
        <f>"2022AQ 02"</f>
        <v>2022AQ 02</v>
      </c>
      <c r="F302" t="str">
        <f>"FY 2022 AIR QUALITY PROGRAM"</f>
        <v>FY 2022 AIR QUALITY PROGRAM</v>
      </c>
      <c r="G302" s="3">
        <v>4621</v>
      </c>
      <c r="H302" t="str">
        <f>"FY 2022 AIR QUALITY PROGRAM"</f>
        <v>FY 2022 AIR QUALITY PROGRAM</v>
      </c>
    </row>
    <row r="303" spans="1:8" x14ac:dyDescent="0.25">
      <c r="A303" t="s">
        <v>65</v>
      </c>
      <c r="B303">
        <v>5214</v>
      </c>
      <c r="C303" s="3">
        <v>314.33999999999997</v>
      </c>
      <c r="D303" s="4">
        <v>44482</v>
      </c>
      <c r="E303" t="str">
        <f>"04005831"</f>
        <v>04005831</v>
      </c>
      <c r="F303" t="str">
        <f>"ACCT#000690/PCT#2"</f>
        <v>ACCT#000690/PCT#2</v>
      </c>
      <c r="G303" s="3">
        <v>157.11000000000001</v>
      </c>
      <c r="H303" t="str">
        <f>"ACCT#000690/PCT#2"</f>
        <v>ACCT#000690/PCT#2</v>
      </c>
    </row>
    <row r="304" spans="1:8" x14ac:dyDescent="0.25">
      <c r="E304" t="str">
        <f>"04005878"</f>
        <v>04005878</v>
      </c>
      <c r="F304" t="str">
        <f>"ACCT#000690/PCT#2"</f>
        <v>ACCT#000690/PCT#2</v>
      </c>
      <c r="G304" s="3">
        <v>157.22999999999999</v>
      </c>
      <c r="H304" t="str">
        <f>"ACCT#000690/PCT#2"</f>
        <v>ACCT#000690/PCT#2</v>
      </c>
    </row>
    <row r="305" spans="1:8" x14ac:dyDescent="0.25">
      <c r="A305" t="s">
        <v>66</v>
      </c>
      <c r="B305">
        <v>137455</v>
      </c>
      <c r="C305" s="3">
        <v>3937.5</v>
      </c>
      <c r="D305" s="4">
        <v>44494</v>
      </c>
      <c r="E305" t="str">
        <f>"202110186588"</f>
        <v>202110186588</v>
      </c>
      <c r="F305" t="str">
        <f>"AUGUST HOURS WORKED"</f>
        <v>AUGUST HOURS WORKED</v>
      </c>
      <c r="G305" s="3">
        <v>3937.5</v>
      </c>
      <c r="H305" t="str">
        <f>"AUGUST HOURS WORKED"</f>
        <v>AUGUST HOURS WORKED</v>
      </c>
    </row>
    <row r="306" spans="1:8" x14ac:dyDescent="0.25">
      <c r="A306" t="s">
        <v>67</v>
      </c>
      <c r="B306">
        <v>137226</v>
      </c>
      <c r="C306" s="3">
        <v>11367.5</v>
      </c>
      <c r="D306" s="4">
        <v>44481</v>
      </c>
      <c r="E306" t="str">
        <f>"202110056035"</f>
        <v>202110056035</v>
      </c>
      <c r="F306" t="str">
        <f>"21-20880"</f>
        <v>21-20880</v>
      </c>
      <c r="G306" s="3">
        <v>482.5</v>
      </c>
      <c r="H306" t="str">
        <f>"21-20880"</f>
        <v>21-20880</v>
      </c>
    </row>
    <row r="307" spans="1:8" x14ac:dyDescent="0.25">
      <c r="E307" t="str">
        <f>"202110056036"</f>
        <v>202110056036</v>
      </c>
      <c r="F307" t="str">
        <f>"21-20616"</f>
        <v>21-20616</v>
      </c>
      <c r="G307" s="3">
        <v>205</v>
      </c>
      <c r="H307" t="str">
        <f>"21-20616"</f>
        <v>21-20616</v>
      </c>
    </row>
    <row r="308" spans="1:8" x14ac:dyDescent="0.25">
      <c r="E308" t="str">
        <f>"202110056037"</f>
        <v>202110056037</v>
      </c>
      <c r="F308" t="str">
        <f>"20-20426"</f>
        <v>20-20426</v>
      </c>
      <c r="G308" s="3">
        <v>407.5</v>
      </c>
      <c r="H308" t="str">
        <f>"20-20426"</f>
        <v>20-20426</v>
      </c>
    </row>
    <row r="309" spans="1:8" x14ac:dyDescent="0.25">
      <c r="E309" t="str">
        <f>"202110056038"</f>
        <v>202110056038</v>
      </c>
      <c r="F309" t="str">
        <f>"19-19849"</f>
        <v>19-19849</v>
      </c>
      <c r="G309" s="3">
        <v>75</v>
      </c>
      <c r="H309" t="str">
        <f>"19-19849"</f>
        <v>19-19849</v>
      </c>
    </row>
    <row r="310" spans="1:8" x14ac:dyDescent="0.25">
      <c r="E310" t="str">
        <f>"202110056039"</f>
        <v>202110056039</v>
      </c>
      <c r="F310" t="str">
        <f>"19-19885"</f>
        <v>19-19885</v>
      </c>
      <c r="G310" s="3">
        <v>105</v>
      </c>
      <c r="H310" t="str">
        <f>"19-19885"</f>
        <v>19-19885</v>
      </c>
    </row>
    <row r="311" spans="1:8" x14ac:dyDescent="0.25">
      <c r="E311" t="str">
        <f>"202110056040"</f>
        <v>202110056040</v>
      </c>
      <c r="F311" t="str">
        <f>"20-20130"</f>
        <v>20-20130</v>
      </c>
      <c r="G311" s="3">
        <v>727.5</v>
      </c>
      <c r="H311" t="str">
        <f>"20-20130"</f>
        <v>20-20130</v>
      </c>
    </row>
    <row r="312" spans="1:8" x14ac:dyDescent="0.25">
      <c r="E312" t="str">
        <f>"202110056041"</f>
        <v>202110056041</v>
      </c>
      <c r="F312" t="str">
        <f>"19-19986"</f>
        <v>19-19986</v>
      </c>
      <c r="G312" s="3">
        <v>497.5</v>
      </c>
      <c r="H312" t="str">
        <f>"19-19986"</f>
        <v>19-19986</v>
      </c>
    </row>
    <row r="313" spans="1:8" x14ac:dyDescent="0.25">
      <c r="E313" t="str">
        <f>"202110056042"</f>
        <v>202110056042</v>
      </c>
      <c r="F313" t="str">
        <f>"21-20664"</f>
        <v>21-20664</v>
      </c>
      <c r="G313" s="3">
        <v>1332.5</v>
      </c>
      <c r="H313" t="str">
        <f>"21-20664"</f>
        <v>21-20664</v>
      </c>
    </row>
    <row r="314" spans="1:8" x14ac:dyDescent="0.25">
      <c r="E314" t="str">
        <f>"202110056043"</f>
        <v>202110056043</v>
      </c>
      <c r="F314" t="str">
        <f>"19-19887"</f>
        <v>19-19887</v>
      </c>
      <c r="G314" s="3">
        <v>1110</v>
      </c>
      <c r="H314" t="str">
        <f>"19-19887"</f>
        <v>19-19887</v>
      </c>
    </row>
    <row r="315" spans="1:8" x14ac:dyDescent="0.25">
      <c r="E315" t="str">
        <f>"202110056044"</f>
        <v>202110056044</v>
      </c>
      <c r="F315" t="str">
        <f>"20-20359"</f>
        <v>20-20359</v>
      </c>
      <c r="G315" s="3">
        <v>362.5</v>
      </c>
      <c r="H315" t="str">
        <f>"20-20359"</f>
        <v>20-20359</v>
      </c>
    </row>
    <row r="316" spans="1:8" x14ac:dyDescent="0.25">
      <c r="E316" t="str">
        <f>"202110056045"</f>
        <v>202110056045</v>
      </c>
      <c r="F316" t="str">
        <f>"21-20542"</f>
        <v>21-20542</v>
      </c>
      <c r="G316" s="3">
        <v>310</v>
      </c>
      <c r="H316" t="str">
        <f>"21-20542"</f>
        <v>21-20542</v>
      </c>
    </row>
    <row r="317" spans="1:8" x14ac:dyDescent="0.25">
      <c r="E317" t="str">
        <f>"202110056046"</f>
        <v>202110056046</v>
      </c>
      <c r="F317" t="str">
        <f>"21-20742"</f>
        <v>21-20742</v>
      </c>
      <c r="G317" s="3">
        <v>1505</v>
      </c>
      <c r="H317" t="str">
        <f>"21-20742"</f>
        <v>21-20742</v>
      </c>
    </row>
    <row r="318" spans="1:8" x14ac:dyDescent="0.25">
      <c r="E318" t="str">
        <f>"202110056047"</f>
        <v>202110056047</v>
      </c>
      <c r="F318" t="str">
        <f>"19-19456"</f>
        <v>19-19456</v>
      </c>
      <c r="G318" s="3">
        <v>540</v>
      </c>
      <c r="H318" t="str">
        <f>"19-19456"</f>
        <v>19-19456</v>
      </c>
    </row>
    <row r="319" spans="1:8" x14ac:dyDescent="0.25">
      <c r="E319" t="str">
        <f>"202110056048"</f>
        <v>202110056048</v>
      </c>
      <c r="F319" t="str">
        <f>"20-20179"</f>
        <v>20-20179</v>
      </c>
      <c r="G319" s="3">
        <v>1290</v>
      </c>
      <c r="H319" t="str">
        <f>"20-20179"</f>
        <v>20-20179</v>
      </c>
    </row>
    <row r="320" spans="1:8" x14ac:dyDescent="0.25">
      <c r="E320" t="str">
        <f>"202110056049"</f>
        <v>202110056049</v>
      </c>
      <c r="F320" t="str">
        <f>"20-20514"</f>
        <v>20-20514</v>
      </c>
      <c r="G320" s="3">
        <v>385</v>
      </c>
      <c r="H320" t="str">
        <f>"20-20514"</f>
        <v>20-20514</v>
      </c>
    </row>
    <row r="321" spans="1:8" x14ac:dyDescent="0.25">
      <c r="E321" t="str">
        <f>"202110056050"</f>
        <v>202110056050</v>
      </c>
      <c r="F321" t="str">
        <f>"20-20215"</f>
        <v>20-20215</v>
      </c>
      <c r="G321" s="3">
        <v>385</v>
      </c>
      <c r="H321" t="str">
        <f>"20-20215"</f>
        <v>20-20215</v>
      </c>
    </row>
    <row r="322" spans="1:8" x14ac:dyDescent="0.25">
      <c r="E322" t="str">
        <f>"202110056051"</f>
        <v>202110056051</v>
      </c>
      <c r="F322" t="str">
        <f>"19-19889"</f>
        <v>19-19889</v>
      </c>
      <c r="G322" s="3">
        <v>242.5</v>
      </c>
      <c r="H322" t="str">
        <f>"19-19889"</f>
        <v>19-19889</v>
      </c>
    </row>
    <row r="323" spans="1:8" x14ac:dyDescent="0.25">
      <c r="E323" t="str">
        <f>"202110056052"</f>
        <v>202110056052</v>
      </c>
      <c r="F323" t="str">
        <f>"20-20258"</f>
        <v>20-20258</v>
      </c>
      <c r="G323" s="3">
        <v>217.5</v>
      </c>
      <c r="H323" t="str">
        <f>"20-20258"</f>
        <v>20-20258</v>
      </c>
    </row>
    <row r="324" spans="1:8" x14ac:dyDescent="0.25">
      <c r="E324" t="str">
        <f>"202110056053"</f>
        <v>202110056053</v>
      </c>
      <c r="F324" t="str">
        <f>"20-20321"</f>
        <v>20-20321</v>
      </c>
      <c r="G324" s="3">
        <v>772.5</v>
      </c>
      <c r="H324" t="str">
        <f>"20-20321"</f>
        <v>20-20321</v>
      </c>
    </row>
    <row r="325" spans="1:8" x14ac:dyDescent="0.25">
      <c r="E325" t="str">
        <f>"202110056068"</f>
        <v>202110056068</v>
      </c>
      <c r="F325" t="str">
        <f>"423-8064"</f>
        <v>423-8064</v>
      </c>
      <c r="G325" s="3">
        <v>415</v>
      </c>
      <c r="H325" t="str">
        <f>"423-8064"</f>
        <v>423-8064</v>
      </c>
    </row>
    <row r="326" spans="1:8" x14ac:dyDescent="0.25">
      <c r="A326" t="s">
        <v>68</v>
      </c>
      <c r="B326">
        <v>5236</v>
      </c>
      <c r="C326" s="3">
        <v>22.61</v>
      </c>
      <c r="D326" s="4">
        <v>44482</v>
      </c>
      <c r="E326" t="str">
        <f>"L007733"</f>
        <v>L007733</v>
      </c>
      <c r="F326" t="str">
        <f>"CDW GOVERNMENT INC"</f>
        <v>CDW GOVERNMENT INC</v>
      </c>
      <c r="G326" s="3">
        <v>22.61</v>
      </c>
      <c r="H326" t="str">
        <f>"INV L007733"</f>
        <v>INV L007733</v>
      </c>
    </row>
    <row r="327" spans="1:8" x14ac:dyDescent="0.25">
      <c r="A327" t="s">
        <v>68</v>
      </c>
      <c r="B327">
        <v>5312</v>
      </c>
      <c r="C327" s="3">
        <v>97.97</v>
      </c>
      <c r="D327" s="4">
        <v>44495</v>
      </c>
      <c r="E327" t="str">
        <f>"26695"</f>
        <v>26695</v>
      </c>
      <c r="F327" t="str">
        <f>"KVM Switch for Tax Office"</f>
        <v>KVM Switch for Tax Office</v>
      </c>
      <c r="G327" s="3">
        <v>97.97</v>
      </c>
      <c r="H327" t="str">
        <f>"KVM Switch for Tax Office"</f>
        <v>KVM Switch for Tax Office</v>
      </c>
    </row>
    <row r="328" spans="1:8" x14ac:dyDescent="0.25">
      <c r="A328" t="s">
        <v>69</v>
      </c>
      <c r="B328">
        <v>137191</v>
      </c>
      <c r="C328" s="3">
        <v>1516.04</v>
      </c>
      <c r="D328" s="4">
        <v>44470</v>
      </c>
      <c r="E328" t="str">
        <f>"202110015960"</f>
        <v>202110015960</v>
      </c>
      <c r="F328" t="str">
        <f>"ACCT#8000081165-5/08252021"</f>
        <v>ACCT#8000081165-5/08252021</v>
      </c>
      <c r="G328" s="3">
        <v>1286.17</v>
      </c>
      <c r="H328" t="str">
        <f>"CENTERPOINT ENERGY"</f>
        <v>CENTERPOINT ENERGY</v>
      </c>
    </row>
    <row r="329" spans="1:8" x14ac:dyDescent="0.25">
      <c r="E329" t="str">
        <f>""</f>
        <v/>
      </c>
      <c r="F329" t="str">
        <f>""</f>
        <v/>
      </c>
      <c r="G329" s="3">
        <v>229.87</v>
      </c>
      <c r="H329" t="str">
        <f>"CENTERPOINT ENERGY"</f>
        <v>CENTERPOINT ENERGY</v>
      </c>
    </row>
    <row r="330" spans="1:8" x14ac:dyDescent="0.25">
      <c r="A330" t="s">
        <v>69</v>
      </c>
      <c r="B330">
        <v>137583</v>
      </c>
      <c r="C330" s="3">
        <v>1564.44</v>
      </c>
      <c r="D330" s="4">
        <v>44496</v>
      </c>
      <c r="E330" t="str">
        <f>"202110276655"</f>
        <v>202110276655</v>
      </c>
      <c r="F330" t="str">
        <f>"ACCT#8000081165-5 / 09242021"</f>
        <v>ACCT#8000081165-5 / 09242021</v>
      </c>
      <c r="G330" s="3">
        <v>1334.57</v>
      </c>
      <c r="H330" t="str">
        <f>"ACCT#8000081165-5 / 09242021"</f>
        <v>ACCT#8000081165-5 / 09242021</v>
      </c>
    </row>
    <row r="331" spans="1:8" x14ac:dyDescent="0.25">
      <c r="E331" t="str">
        <f>""</f>
        <v/>
      </c>
      <c r="F331" t="str">
        <f>""</f>
        <v/>
      </c>
      <c r="G331" s="3">
        <v>229.87</v>
      </c>
      <c r="H331" t="str">
        <f>"ACCT#8000081165-5 / 09242021"</f>
        <v>ACCT#8000081165-5 / 09242021</v>
      </c>
    </row>
    <row r="332" spans="1:8" x14ac:dyDescent="0.25">
      <c r="A332" t="s">
        <v>70</v>
      </c>
      <c r="B332">
        <v>137456</v>
      </c>
      <c r="C332" s="3">
        <v>642.77</v>
      </c>
      <c r="D332" s="4">
        <v>44494</v>
      </c>
      <c r="E332" t="str">
        <f>"16276985/16970945"</f>
        <v>16276985/16970945</v>
      </c>
      <c r="F332" t="str">
        <f>"REIMBURSEMENT"</f>
        <v>REIMBURSEMENT</v>
      </c>
      <c r="G332" s="3">
        <v>150.47</v>
      </c>
      <c r="H332" t="str">
        <f>"ORDER 16276985"</f>
        <v>ORDER 16276985</v>
      </c>
    </row>
    <row r="333" spans="1:8" x14ac:dyDescent="0.25">
      <c r="E333" t="str">
        <f>""</f>
        <v/>
      </c>
      <c r="F333" t="str">
        <f>""</f>
        <v/>
      </c>
      <c r="G333" s="3">
        <v>150.47</v>
      </c>
      <c r="H333" t="str">
        <f>"ORDER 16970945"</f>
        <v>ORDER 16970945</v>
      </c>
    </row>
    <row r="334" spans="1:8" x14ac:dyDescent="0.25">
      <c r="E334" t="str">
        <f>""</f>
        <v/>
      </c>
      <c r="F334" t="str">
        <f>""</f>
        <v/>
      </c>
      <c r="G334" s="3">
        <v>341.83</v>
      </c>
      <c r="H334" t="str">
        <f>"ORDER 18353774"</f>
        <v>ORDER 18353774</v>
      </c>
    </row>
    <row r="335" spans="1:8" x14ac:dyDescent="0.25">
      <c r="A335" t="s">
        <v>71</v>
      </c>
      <c r="B335">
        <v>137227</v>
      </c>
      <c r="C335" s="3">
        <v>472.5</v>
      </c>
      <c r="D335" s="4">
        <v>44481</v>
      </c>
      <c r="E335" t="str">
        <f>"202110056029"</f>
        <v>202110056029</v>
      </c>
      <c r="F335" t="str">
        <f>"21-20839"</f>
        <v>21-20839</v>
      </c>
      <c r="G335" s="3">
        <v>472.5</v>
      </c>
      <c r="H335" t="str">
        <f>"21-20839"</f>
        <v>21-20839</v>
      </c>
    </row>
    <row r="336" spans="1:8" x14ac:dyDescent="0.25">
      <c r="A336" t="s">
        <v>71</v>
      </c>
      <c r="B336">
        <v>137457</v>
      </c>
      <c r="C336" s="3">
        <v>116.91</v>
      </c>
      <c r="D336" s="4">
        <v>44494</v>
      </c>
      <c r="E336" t="str">
        <f>"202110146471"</f>
        <v>202110146471</v>
      </c>
      <c r="F336" t="str">
        <f>"J-DETENTION HEARING"</f>
        <v>J-DETENTION HEARING</v>
      </c>
      <c r="G336" s="3">
        <v>116.91</v>
      </c>
      <c r="H336" t="str">
        <f>"J-DETENTION HEARING"</f>
        <v>J-DETENTION HEARING</v>
      </c>
    </row>
    <row r="337" spans="1:8" x14ac:dyDescent="0.25">
      <c r="A337" t="s">
        <v>72</v>
      </c>
      <c r="B337">
        <v>137458</v>
      </c>
      <c r="C337" s="3">
        <v>50</v>
      </c>
      <c r="D337" s="4">
        <v>44494</v>
      </c>
      <c r="E337" t="str">
        <f>"21-157728"</f>
        <v>21-157728</v>
      </c>
      <c r="F337" t="str">
        <f>"INV 21-157728"</f>
        <v>INV 21-157728</v>
      </c>
      <c r="G337" s="3">
        <v>50</v>
      </c>
      <c r="H337" t="str">
        <f>"INV 21-157728"</f>
        <v>INV 21-157728</v>
      </c>
    </row>
    <row r="338" spans="1:8" x14ac:dyDescent="0.25">
      <c r="A338" t="s">
        <v>73</v>
      </c>
      <c r="B338">
        <v>5240</v>
      </c>
      <c r="C338" s="3">
        <v>7975</v>
      </c>
      <c r="D338" s="4">
        <v>44482</v>
      </c>
      <c r="E338" t="str">
        <f>"202110055994"</f>
        <v>202110055994</v>
      </c>
      <c r="F338" t="str">
        <f>"21-20874"</f>
        <v>21-20874</v>
      </c>
      <c r="G338" s="3">
        <v>100</v>
      </c>
      <c r="H338" t="str">
        <f>"21-20874"</f>
        <v>21-20874</v>
      </c>
    </row>
    <row r="339" spans="1:8" x14ac:dyDescent="0.25">
      <c r="E339" t="str">
        <f>"202110055995"</f>
        <v>202110055995</v>
      </c>
      <c r="F339" t="str">
        <f>"CM2020208A"</f>
        <v>CM2020208A</v>
      </c>
      <c r="G339" s="3">
        <v>250</v>
      </c>
      <c r="H339" t="str">
        <f>"CM2020208A"</f>
        <v>CM2020208A</v>
      </c>
    </row>
    <row r="340" spans="1:8" x14ac:dyDescent="0.25">
      <c r="E340" t="str">
        <f>"202110055996"</f>
        <v>202110055996</v>
      </c>
      <c r="F340" t="str">
        <f>"57-543"</f>
        <v>57-543</v>
      </c>
      <c r="G340" s="3">
        <v>250</v>
      </c>
      <c r="H340" t="str">
        <f>"57-543"</f>
        <v>57-543</v>
      </c>
    </row>
    <row r="341" spans="1:8" x14ac:dyDescent="0.25">
      <c r="E341" t="str">
        <f>"202110055997"</f>
        <v>202110055997</v>
      </c>
      <c r="F341" t="str">
        <f>"57-897"</f>
        <v>57-897</v>
      </c>
      <c r="G341" s="3">
        <v>250</v>
      </c>
      <c r="H341" t="str">
        <f>"57-897"</f>
        <v>57-897</v>
      </c>
    </row>
    <row r="342" spans="1:8" x14ac:dyDescent="0.25">
      <c r="E342" t="str">
        <f>"202110055998"</f>
        <v>202110055998</v>
      </c>
      <c r="F342" t="str">
        <f>"21-20814"</f>
        <v>21-20814</v>
      </c>
      <c r="G342" s="3">
        <v>150</v>
      </c>
      <c r="H342" t="str">
        <f>"21-20814"</f>
        <v>21-20814</v>
      </c>
    </row>
    <row r="343" spans="1:8" x14ac:dyDescent="0.25">
      <c r="E343" t="str">
        <f>"202110055999"</f>
        <v>202110055999</v>
      </c>
      <c r="F343" t="str">
        <f>"21061121-6"</f>
        <v>21061121-6</v>
      </c>
      <c r="G343" s="3">
        <v>250</v>
      </c>
      <c r="H343" t="str">
        <f>"21061121-6"</f>
        <v>21061121-6</v>
      </c>
    </row>
    <row r="344" spans="1:8" x14ac:dyDescent="0.25">
      <c r="E344" t="str">
        <f>"202110056000"</f>
        <v>202110056000</v>
      </c>
      <c r="F344" t="str">
        <f>"DCPC-19-139"</f>
        <v>DCPC-19-139</v>
      </c>
      <c r="G344" s="3">
        <v>250</v>
      </c>
      <c r="H344" t="str">
        <f>"DCPC-19-139"</f>
        <v>DCPC-19-139</v>
      </c>
    </row>
    <row r="345" spans="1:8" x14ac:dyDescent="0.25">
      <c r="E345" t="str">
        <f>"202110056001"</f>
        <v>202110056001</v>
      </c>
      <c r="F345" t="str">
        <f>"21-20900"</f>
        <v>21-20900</v>
      </c>
      <c r="G345" s="3">
        <v>100</v>
      </c>
      <c r="H345" t="str">
        <f>"21-20900"</f>
        <v>21-20900</v>
      </c>
    </row>
    <row r="346" spans="1:8" x14ac:dyDescent="0.25">
      <c r="E346" t="str">
        <f>"202110056003"</f>
        <v>202110056003</v>
      </c>
      <c r="F346" t="str">
        <f>"423-8025 1876-335"</f>
        <v>423-8025 1876-335</v>
      </c>
      <c r="G346" s="3">
        <v>300</v>
      </c>
      <c r="H346" t="str">
        <f>"423-8025 1876-335"</f>
        <v>423-8025 1876-335</v>
      </c>
    </row>
    <row r="347" spans="1:8" x14ac:dyDescent="0.25">
      <c r="E347" t="str">
        <f>"202110056004"</f>
        <v>202110056004</v>
      </c>
      <c r="F347" t="str">
        <f>"17-501 2021-02153"</f>
        <v>17-501 2021-02153</v>
      </c>
      <c r="G347" s="3">
        <v>600</v>
      </c>
      <c r="H347" t="str">
        <f>"17-501 2021-02153"</f>
        <v>17-501 2021-02153</v>
      </c>
    </row>
    <row r="348" spans="1:8" x14ac:dyDescent="0.25">
      <c r="E348" t="str">
        <f>"202110056005"</f>
        <v>202110056005</v>
      </c>
      <c r="F348" t="str">
        <f>"17-449"</f>
        <v>17-449</v>
      </c>
      <c r="G348" s="3">
        <v>400</v>
      </c>
      <c r="H348" t="str">
        <f>"17-449"</f>
        <v>17-449</v>
      </c>
    </row>
    <row r="349" spans="1:8" x14ac:dyDescent="0.25">
      <c r="E349" t="str">
        <f>"202110056006"</f>
        <v>202110056006</v>
      </c>
      <c r="F349" t="str">
        <f>"16-366"</f>
        <v>16-366</v>
      </c>
      <c r="G349" s="3">
        <v>3600</v>
      </c>
      <c r="H349" t="str">
        <f>"16-366"</f>
        <v>16-366</v>
      </c>
    </row>
    <row r="350" spans="1:8" x14ac:dyDescent="0.25">
      <c r="E350" t="str">
        <f>"202110056007"</f>
        <v>202110056007</v>
      </c>
      <c r="F350" t="str">
        <f>"423-8078"</f>
        <v>423-8078</v>
      </c>
      <c r="G350" s="3">
        <v>150</v>
      </c>
      <c r="H350" t="str">
        <f>"423-8078"</f>
        <v>423-8078</v>
      </c>
    </row>
    <row r="351" spans="1:8" x14ac:dyDescent="0.25">
      <c r="E351" t="str">
        <f>"202110056008"</f>
        <v>202110056008</v>
      </c>
      <c r="F351" t="str">
        <f>"21-20635"</f>
        <v>21-20635</v>
      </c>
      <c r="G351" s="3">
        <v>100</v>
      </c>
      <c r="H351" t="str">
        <f>"21-20635"</f>
        <v>21-20635</v>
      </c>
    </row>
    <row r="352" spans="1:8" x14ac:dyDescent="0.25">
      <c r="E352" t="str">
        <f>"202110056009"</f>
        <v>202110056009</v>
      </c>
      <c r="F352" t="str">
        <f>"21-20627"</f>
        <v>21-20627</v>
      </c>
      <c r="G352" s="3">
        <v>325</v>
      </c>
      <c r="H352" t="str">
        <f>"21-20627"</f>
        <v>21-20627</v>
      </c>
    </row>
    <row r="353" spans="1:8" x14ac:dyDescent="0.25">
      <c r="E353" t="str">
        <f>"202110056010"</f>
        <v>202110056010</v>
      </c>
      <c r="F353" t="str">
        <f>"21-20608"</f>
        <v>21-20608</v>
      </c>
      <c r="G353" s="3">
        <v>225</v>
      </c>
      <c r="H353" t="str">
        <f>"21-20608"</f>
        <v>21-20608</v>
      </c>
    </row>
    <row r="354" spans="1:8" x14ac:dyDescent="0.25">
      <c r="E354" t="str">
        <f>"202110056011"</f>
        <v>202110056011</v>
      </c>
      <c r="F354" t="str">
        <f>"20-20426"</f>
        <v>20-20426</v>
      </c>
      <c r="G354" s="3">
        <v>225</v>
      </c>
      <c r="H354" t="str">
        <f>"20-20426"</f>
        <v>20-20426</v>
      </c>
    </row>
    <row r="355" spans="1:8" x14ac:dyDescent="0.25">
      <c r="E355" t="str">
        <f>"202110056012"</f>
        <v>202110056012</v>
      </c>
      <c r="F355" t="str">
        <f>"19-19940"</f>
        <v>19-19940</v>
      </c>
      <c r="G355" s="3">
        <v>450</v>
      </c>
      <c r="H355" t="str">
        <f>"19-19940"</f>
        <v>19-19940</v>
      </c>
    </row>
    <row r="356" spans="1:8" x14ac:dyDescent="0.25">
      <c r="A356" t="s">
        <v>73</v>
      </c>
      <c r="B356">
        <v>5318</v>
      </c>
      <c r="C356" s="3">
        <v>4325</v>
      </c>
      <c r="D356" s="4">
        <v>44495</v>
      </c>
      <c r="E356" t="str">
        <f>"202110196592"</f>
        <v>202110196592</v>
      </c>
      <c r="F356" t="str">
        <f>"56 531"</f>
        <v>56 531</v>
      </c>
      <c r="G356" s="3">
        <v>1200</v>
      </c>
      <c r="H356" t="str">
        <f>"56 531"</f>
        <v>56 531</v>
      </c>
    </row>
    <row r="357" spans="1:8" x14ac:dyDescent="0.25">
      <c r="E357" t="str">
        <f>"202110196593"</f>
        <v>202110196593</v>
      </c>
      <c r="F357" t="str">
        <f>"57 790  57 990"</f>
        <v>57 790  57 990</v>
      </c>
      <c r="G357" s="3">
        <v>375</v>
      </c>
      <c r="H357" t="str">
        <f>"57 790  57 990"</f>
        <v>57 790  57 990</v>
      </c>
    </row>
    <row r="358" spans="1:8" x14ac:dyDescent="0.25">
      <c r="E358" t="str">
        <f>"202110196594"</f>
        <v>202110196594</v>
      </c>
      <c r="F358" t="str">
        <f>"JP108012019A"</f>
        <v>JP108012019A</v>
      </c>
      <c r="G358" s="3">
        <v>250</v>
      </c>
      <c r="H358" t="str">
        <f>"JP108012019A"</f>
        <v>JP108012019A</v>
      </c>
    </row>
    <row r="359" spans="1:8" x14ac:dyDescent="0.25">
      <c r="E359" t="str">
        <f>"202110196595"</f>
        <v>202110196595</v>
      </c>
      <c r="F359" t="str">
        <f>"02-0807-9"</f>
        <v>02-0807-9</v>
      </c>
      <c r="G359" s="3">
        <v>250</v>
      </c>
      <c r="H359" t="str">
        <f>"02-0807-9"</f>
        <v>02-0807-9</v>
      </c>
    </row>
    <row r="360" spans="1:8" x14ac:dyDescent="0.25">
      <c r="E360" t="str">
        <f>"202110196596"</f>
        <v>202110196596</v>
      </c>
      <c r="F360" t="str">
        <f>"409199.4"</f>
        <v>409199.4</v>
      </c>
      <c r="G360" s="3">
        <v>250</v>
      </c>
      <c r="H360" t="str">
        <f>"409199.4"</f>
        <v>409199.4</v>
      </c>
    </row>
    <row r="361" spans="1:8" x14ac:dyDescent="0.25">
      <c r="E361" t="str">
        <f>"202110196633"</f>
        <v>202110196633</v>
      </c>
      <c r="F361" t="str">
        <f>"16 706"</f>
        <v>16 706</v>
      </c>
      <c r="G361" s="3">
        <v>1800</v>
      </c>
      <c r="H361" t="str">
        <f>"16 706"</f>
        <v>16 706</v>
      </c>
    </row>
    <row r="362" spans="1:8" x14ac:dyDescent="0.25">
      <c r="E362" t="str">
        <f>"202110196634"</f>
        <v>202110196634</v>
      </c>
      <c r="F362" t="str">
        <f>"1905-335  423-8079"</f>
        <v>1905-335  423-8079</v>
      </c>
      <c r="G362" s="3">
        <v>200</v>
      </c>
      <c r="H362" t="str">
        <f>"1905-335  423-8079"</f>
        <v>1905-335  423-8079</v>
      </c>
    </row>
    <row r="363" spans="1:8" x14ac:dyDescent="0.25">
      <c r="A363" t="s">
        <v>74</v>
      </c>
      <c r="B363">
        <v>137228</v>
      </c>
      <c r="C363" s="3">
        <v>243.38</v>
      </c>
      <c r="D363" s="4">
        <v>44481</v>
      </c>
      <c r="E363" t="str">
        <f>"5078191910"</f>
        <v>5078191910</v>
      </c>
      <c r="F363" t="str">
        <f>"PAYER#11167181/PCT#1"</f>
        <v>PAYER#11167181/PCT#1</v>
      </c>
      <c r="G363" s="3">
        <v>193.38</v>
      </c>
      <c r="H363" t="str">
        <f>"PAYER#11167181/PCT#1"</f>
        <v>PAYER#11167181/PCT#1</v>
      </c>
    </row>
    <row r="364" spans="1:8" x14ac:dyDescent="0.25">
      <c r="E364" t="str">
        <f>"9148609232"</f>
        <v>9148609232</v>
      </c>
      <c r="F364" t="str">
        <f>"INV 9148609232"</f>
        <v>INV 9148609232</v>
      </c>
      <c r="G364" s="3">
        <v>50</v>
      </c>
      <c r="H364" t="str">
        <f>"INV 9148609232"</f>
        <v>INV 9148609232</v>
      </c>
    </row>
    <row r="365" spans="1:8" x14ac:dyDescent="0.25">
      <c r="A365" t="s">
        <v>74</v>
      </c>
      <c r="B365">
        <v>137459</v>
      </c>
      <c r="C365" s="3">
        <v>100</v>
      </c>
      <c r="D365" s="4">
        <v>44494</v>
      </c>
      <c r="E365" t="str">
        <f>"9148609231"</f>
        <v>9148609231</v>
      </c>
      <c r="F365" t="str">
        <f>"INV 9148609231"</f>
        <v>INV 9148609231</v>
      </c>
      <c r="G365" s="3">
        <v>100</v>
      </c>
      <c r="H365" t="str">
        <f>"INV 9148609231"</f>
        <v>INV 9148609231</v>
      </c>
    </row>
    <row r="366" spans="1:8" x14ac:dyDescent="0.25">
      <c r="A366" t="s">
        <v>75</v>
      </c>
      <c r="B366">
        <v>137229</v>
      </c>
      <c r="C366" s="3">
        <v>1156.77</v>
      </c>
      <c r="D366" s="4">
        <v>44481</v>
      </c>
      <c r="E366" t="str">
        <f>"202110056070"</f>
        <v>202110056070</v>
      </c>
      <c r="F366" t="str">
        <f>"PAYER#14108367/PCT#2"</f>
        <v>PAYER#14108367/PCT#2</v>
      </c>
      <c r="G366" s="3">
        <v>884.05</v>
      </c>
      <c r="H366" t="str">
        <f>"PAYER#14108367/PCT#2"</f>
        <v>PAYER#14108367/PCT#2</v>
      </c>
    </row>
    <row r="367" spans="1:8" x14ac:dyDescent="0.25">
      <c r="E367" t="str">
        <f>"202110056081"</f>
        <v>202110056081</v>
      </c>
      <c r="F367" t="str">
        <f>"PAYER#14108463/ANIMAL SHELTER"</f>
        <v>PAYER#14108463/ANIMAL SHELTER</v>
      </c>
      <c r="G367" s="3">
        <v>272.72000000000003</v>
      </c>
      <c r="H367" t="str">
        <f>"PAYER#14108463/ANIMAL SHELTER"</f>
        <v>PAYER#14108463/ANIMAL SHELTER</v>
      </c>
    </row>
    <row r="368" spans="1:8" x14ac:dyDescent="0.25">
      <c r="A368" t="s">
        <v>75</v>
      </c>
      <c r="B368">
        <v>137460</v>
      </c>
      <c r="C368" s="3">
        <v>3009.14</v>
      </c>
      <c r="D368" s="4">
        <v>44494</v>
      </c>
      <c r="E368" t="str">
        <f>"202110156543"</f>
        <v>202110156543</v>
      </c>
      <c r="F368" t="str">
        <f>"PAYER#14108431/SIGN SHOP"</f>
        <v>PAYER#14108431/SIGN SHOP</v>
      </c>
      <c r="G368" s="3">
        <v>64.959999999999994</v>
      </c>
      <c r="H368" t="str">
        <f>"PAYER#14108431/SIGN SHOP"</f>
        <v>PAYER#14108431/SIGN SHOP</v>
      </c>
    </row>
    <row r="369" spans="1:8" x14ac:dyDescent="0.25">
      <c r="E369" t="str">
        <f>"202110156544"</f>
        <v>202110156544</v>
      </c>
      <c r="F369" t="str">
        <f>"PAYER#14108375/GENERAL SVCS"</f>
        <v>PAYER#14108375/GENERAL SVCS</v>
      </c>
      <c r="G369" s="3">
        <v>1961.94</v>
      </c>
      <c r="H369" t="str">
        <f>"PAYER#14108375/GENERAL SVCS"</f>
        <v>PAYER#14108375/GENERAL SVCS</v>
      </c>
    </row>
    <row r="370" spans="1:8" x14ac:dyDescent="0.25">
      <c r="E370" t="str">
        <f>"40980648 409756370"</f>
        <v>40980648 409756370</v>
      </c>
      <c r="F370" t="str">
        <f>"PAYER #14108431 RB1"</f>
        <v>PAYER #14108431 RB1</v>
      </c>
      <c r="G370" s="3">
        <v>982.24</v>
      </c>
      <c r="H370" t="str">
        <f>"PAYER #14108431 RB1"</f>
        <v>PAYER #14108431 RB1</v>
      </c>
    </row>
    <row r="371" spans="1:8" x14ac:dyDescent="0.25">
      <c r="A371" t="s">
        <v>75</v>
      </c>
      <c r="B371">
        <v>137461</v>
      </c>
      <c r="C371" s="3">
        <v>290.86</v>
      </c>
      <c r="D371" s="4">
        <v>44494</v>
      </c>
      <c r="E371" t="str">
        <f>"8405343091"</f>
        <v>8405343091</v>
      </c>
      <c r="F371" t="str">
        <f>"CUST#10342486 PCT2"</f>
        <v>CUST#10342486 PCT2</v>
      </c>
      <c r="G371" s="3">
        <v>58.24</v>
      </c>
      <c r="H371" t="str">
        <f>"CUST#10342486 PCT2"</f>
        <v>CUST#10342486 PCT2</v>
      </c>
    </row>
    <row r="372" spans="1:8" x14ac:dyDescent="0.25">
      <c r="E372" t="str">
        <f>"8405362748"</f>
        <v>8405362748</v>
      </c>
      <c r="F372" t="str">
        <f>"CUST#10377368/PCT#3"</f>
        <v>CUST#10377368/PCT#3</v>
      </c>
      <c r="G372" s="3">
        <v>232.62</v>
      </c>
      <c r="H372" t="str">
        <f>"CUST#10377368/PCT#3"</f>
        <v>CUST#10377368/PCT#3</v>
      </c>
    </row>
    <row r="373" spans="1:8" x14ac:dyDescent="0.25">
      <c r="A373" t="s">
        <v>76</v>
      </c>
      <c r="B373">
        <v>137462</v>
      </c>
      <c r="C373" s="3">
        <v>750</v>
      </c>
      <c r="D373" s="4">
        <v>44494</v>
      </c>
      <c r="E373" t="str">
        <f>"202110196600"</f>
        <v>202110196600</v>
      </c>
      <c r="F373" t="str">
        <f>"RENTAL-PARKING LOT"</f>
        <v>RENTAL-PARKING LOT</v>
      </c>
      <c r="G373" s="3">
        <v>750</v>
      </c>
      <c r="H373" t="str">
        <f>"RENTAL-PARKING LOT"</f>
        <v>RENTAL-PARKING LOT</v>
      </c>
    </row>
    <row r="374" spans="1:8" x14ac:dyDescent="0.25">
      <c r="A374" t="s">
        <v>77</v>
      </c>
      <c r="B374">
        <v>137192</v>
      </c>
      <c r="C374" s="3">
        <v>2936.63</v>
      </c>
      <c r="D374" s="4">
        <v>44470</v>
      </c>
      <c r="E374" t="str">
        <f>"202110015961"</f>
        <v>202110015961</v>
      </c>
      <c r="F374" t="str">
        <f>"ACCT#007-0000388-000/09272021"</f>
        <v>ACCT#007-0000388-000/09272021</v>
      </c>
      <c r="G374" s="3">
        <v>891.64</v>
      </c>
      <c r="H374" t="str">
        <f>"CITY OF SMITHVILLE"</f>
        <v>CITY OF SMITHVILLE</v>
      </c>
    </row>
    <row r="375" spans="1:8" x14ac:dyDescent="0.25">
      <c r="E375" t="str">
        <f>"202110015962"</f>
        <v>202110015962</v>
      </c>
      <c r="F375" t="str">
        <f>"ACCT#007-0000389-000"</f>
        <v>ACCT#007-0000389-000</v>
      </c>
      <c r="G375" s="3">
        <v>71.34</v>
      </c>
      <c r="H375" t="str">
        <f>"ACCT#007-0000389-000"</f>
        <v>ACCT#007-0000389-000</v>
      </c>
    </row>
    <row r="376" spans="1:8" x14ac:dyDescent="0.25">
      <c r="E376" t="str">
        <f>"202110015963"</f>
        <v>202110015963</v>
      </c>
      <c r="F376" t="str">
        <f>"ACCT#044-0001240-000"</f>
        <v>ACCT#044-0001240-000</v>
      </c>
      <c r="G376" s="3">
        <v>524.14</v>
      </c>
      <c r="H376" t="str">
        <f>"CITY OF SMITHVILLE"</f>
        <v>CITY OF SMITHVILLE</v>
      </c>
    </row>
    <row r="377" spans="1:8" x14ac:dyDescent="0.25">
      <c r="E377" t="str">
        <f>"202110015964"</f>
        <v>202110015964</v>
      </c>
      <c r="F377" t="str">
        <f>"ACCT#044-0001250-000/09272021"</f>
        <v>ACCT#044-0001250-000/09272021</v>
      </c>
      <c r="G377" s="3">
        <v>87.88</v>
      </c>
      <c r="H377" t="str">
        <f>"CITY OF SMITHVILLE"</f>
        <v>CITY OF SMITHVILLE</v>
      </c>
    </row>
    <row r="378" spans="1:8" x14ac:dyDescent="0.25">
      <c r="E378" t="str">
        <f>"202110015965"</f>
        <v>202110015965</v>
      </c>
      <c r="F378" t="str">
        <f>"ACCT#044-0001252-000/09272021"</f>
        <v>ACCT#044-0001252-000/09272021</v>
      </c>
      <c r="G378" s="3">
        <v>1258.3399999999999</v>
      </c>
      <c r="H378" t="str">
        <f>"CITY OF SMITHVILLE"</f>
        <v>CITY OF SMITHVILLE</v>
      </c>
    </row>
    <row r="379" spans="1:8" x14ac:dyDescent="0.25">
      <c r="E379" t="str">
        <f>"202110015966"</f>
        <v>202110015966</v>
      </c>
      <c r="F379" t="str">
        <f>"ACCT#044-0001253-000/09272021"</f>
        <v>ACCT#044-0001253-000/09272021</v>
      </c>
      <c r="G379" s="3">
        <v>103.29</v>
      </c>
      <c r="H379" t="str">
        <f>"ACCT#044-0001253-000/09272021"</f>
        <v>ACCT#044-0001253-000/09272021</v>
      </c>
    </row>
    <row r="380" spans="1:8" x14ac:dyDescent="0.25">
      <c r="A380" t="s">
        <v>77</v>
      </c>
      <c r="B380">
        <v>137463</v>
      </c>
      <c r="C380" s="3">
        <v>1062.31</v>
      </c>
      <c r="D380" s="4">
        <v>44494</v>
      </c>
      <c r="E380" t="str">
        <f>"202110156541"</f>
        <v>202110156541</v>
      </c>
      <c r="F380" t="str">
        <f>"2021 HHW COLLECTION EVENT/OT"</f>
        <v>2021 HHW COLLECTION EVENT/OT</v>
      </c>
      <c r="G380" s="3">
        <v>1062.31</v>
      </c>
      <c r="H380" t="str">
        <f>"2021 HHW COLLECTION EVENT/OT"</f>
        <v>2021 HHW COLLECTION EVENT/OT</v>
      </c>
    </row>
    <row r="381" spans="1:8" x14ac:dyDescent="0.25">
      <c r="A381" t="s">
        <v>78</v>
      </c>
      <c r="B381">
        <v>5264</v>
      </c>
      <c r="C381" s="3">
        <v>10056.280000000001</v>
      </c>
      <c r="D381" s="4">
        <v>44495</v>
      </c>
      <c r="E381" t="str">
        <f>"PMA-0080258"</f>
        <v>PMA-0080258</v>
      </c>
      <c r="F381" t="str">
        <f>"INV PMA-0080258"</f>
        <v>INV PMA-0080258</v>
      </c>
      <c r="G381" s="3">
        <v>3424</v>
      </c>
      <c r="H381" t="str">
        <f>"INV PMA-0080258"</f>
        <v>INV PMA-0080258</v>
      </c>
    </row>
    <row r="382" spans="1:8" x14ac:dyDescent="0.25">
      <c r="E382" t="str">
        <f>"PMA-0080457"</f>
        <v>PMA-0080457</v>
      </c>
      <c r="F382" t="str">
        <f>"PLANNED MAINT SVC AGREEMENT"</f>
        <v>PLANNED MAINT SVC AGREEMENT</v>
      </c>
      <c r="G382" s="3">
        <v>1088</v>
      </c>
      <c r="H382" t="str">
        <f>"PLANNED MAINT SVC AGREEMENT"</f>
        <v>PLANNED MAINT SVC AGREEMENT</v>
      </c>
    </row>
    <row r="383" spans="1:8" x14ac:dyDescent="0.25">
      <c r="E383" t="str">
        <f>"SVC-0122082"</f>
        <v>SVC-0122082</v>
      </c>
      <c r="F383" t="str">
        <f>"CUST#0020272/21-20026"</f>
        <v>CUST#0020272/21-20026</v>
      </c>
      <c r="G383" s="3">
        <v>4370.4399999999996</v>
      </c>
      <c r="H383" t="str">
        <f>"CUST#0020272/21-20026"</f>
        <v>CUST#0020272/21-20026</v>
      </c>
    </row>
    <row r="384" spans="1:8" x14ac:dyDescent="0.25">
      <c r="E384" t="str">
        <f>"SVC-0122894"</f>
        <v>SVC-0122894</v>
      </c>
      <c r="F384" t="str">
        <f>"CUST#0020272/21-29180"</f>
        <v>CUST#0020272/21-29180</v>
      </c>
      <c r="G384" s="3">
        <v>211.28</v>
      </c>
      <c r="H384" t="str">
        <f>"CUST#0020272/21-29180"</f>
        <v>CUST#0020272/21-29180</v>
      </c>
    </row>
    <row r="385" spans="1:8" x14ac:dyDescent="0.25">
      <c r="E385" t="str">
        <f>"SVC-012295"</f>
        <v>SVC-012295</v>
      </c>
      <c r="F385" t="str">
        <f>"INV SVC-0122895"</f>
        <v>INV SVC-0122895</v>
      </c>
      <c r="G385" s="3">
        <v>962.56</v>
      </c>
      <c r="H385" t="str">
        <f>"INV SVC-0122895"</f>
        <v>INV SVC-0122895</v>
      </c>
    </row>
    <row r="386" spans="1:8" x14ac:dyDescent="0.25">
      <c r="A386" t="s">
        <v>79</v>
      </c>
      <c r="B386">
        <v>5297</v>
      </c>
      <c r="C386" s="3">
        <v>196.39</v>
      </c>
      <c r="D386" s="4">
        <v>44495</v>
      </c>
      <c r="E386" t="str">
        <f>"1278-202109-0"</f>
        <v>1278-202109-0</v>
      </c>
      <c r="F386" t="str">
        <f>"INV 1278-202109-0"</f>
        <v>INV 1278-202109-0</v>
      </c>
      <c r="G386" s="3">
        <v>65.69</v>
      </c>
      <c r="H386" t="str">
        <f>"INV 1278-202109-0"</f>
        <v>INV 1278-202109-0</v>
      </c>
    </row>
    <row r="387" spans="1:8" x14ac:dyDescent="0.25">
      <c r="E387" t="str">
        <f>"202110196615"</f>
        <v>202110196615</v>
      </c>
      <c r="F387" t="str">
        <f>"INDIGENT HEALTH"</f>
        <v>INDIGENT HEALTH</v>
      </c>
      <c r="G387" s="3">
        <v>95.89</v>
      </c>
      <c r="H387" t="str">
        <f>"INDIGENT HEALTH"</f>
        <v>INDIGENT HEALTH</v>
      </c>
    </row>
    <row r="388" spans="1:8" x14ac:dyDescent="0.25">
      <c r="E388" t="str">
        <f>"202110196616"</f>
        <v>202110196616</v>
      </c>
      <c r="F388" t="str">
        <f>"INDIGENT HEALTH"</f>
        <v>INDIGENT HEALTH</v>
      </c>
      <c r="G388" s="3">
        <v>34.81</v>
      </c>
      <c r="H388" t="str">
        <f>"INDIGENT HEALTH"</f>
        <v>INDIGENT HEALTH</v>
      </c>
    </row>
    <row r="389" spans="1:8" x14ac:dyDescent="0.25">
      <c r="A389" t="s">
        <v>80</v>
      </c>
      <c r="B389">
        <v>137464</v>
      </c>
      <c r="C389" s="3">
        <v>23</v>
      </c>
      <c r="D389" s="4">
        <v>44494</v>
      </c>
      <c r="E389" t="str">
        <f>"13390"</f>
        <v>13390</v>
      </c>
      <c r="F389" t="str">
        <f>"SERVICE"</f>
        <v>SERVICE</v>
      </c>
      <c r="G389" s="3">
        <v>23</v>
      </c>
      <c r="H389" t="str">
        <f>"SERVICE"</f>
        <v>SERVICE</v>
      </c>
    </row>
    <row r="390" spans="1:8" x14ac:dyDescent="0.25">
      <c r="A390" t="s">
        <v>81</v>
      </c>
      <c r="B390">
        <v>5267</v>
      </c>
      <c r="C390" s="3">
        <v>333.6</v>
      </c>
      <c r="D390" s="4">
        <v>44495</v>
      </c>
      <c r="E390" t="str">
        <f>"13473128673"</f>
        <v>13473128673</v>
      </c>
      <c r="F390" t="str">
        <f>"INV 13473128673"</f>
        <v>INV 13473128673</v>
      </c>
      <c r="G390" s="3">
        <v>333.6</v>
      </c>
      <c r="H390" t="str">
        <f>"INV 13473128673"</f>
        <v>INV 13473128673</v>
      </c>
    </row>
    <row r="391" spans="1:8" x14ac:dyDescent="0.25">
      <c r="A391" t="s">
        <v>82</v>
      </c>
      <c r="B391">
        <v>137465</v>
      </c>
      <c r="C391" s="3">
        <v>450</v>
      </c>
      <c r="D391" s="4">
        <v>44494</v>
      </c>
      <c r="E391" t="str">
        <f>"765"</f>
        <v>765</v>
      </c>
      <c r="F391" t="str">
        <f>"BROADBAND/RFP/SEPTEMBER 2021"</f>
        <v>BROADBAND/RFP/SEPTEMBER 2021</v>
      </c>
      <c r="G391" s="3">
        <v>450</v>
      </c>
      <c r="H391" t="str">
        <f>"BROADBAND/RFP/SEPTEMBER 2021"</f>
        <v>BROADBAND/RFP/SEPTEMBER 2021</v>
      </c>
    </row>
    <row r="392" spans="1:8" x14ac:dyDescent="0.25">
      <c r="A392" t="s">
        <v>83</v>
      </c>
      <c r="B392">
        <v>137230</v>
      </c>
      <c r="C392" s="3">
        <v>90</v>
      </c>
      <c r="D392" s="4">
        <v>44481</v>
      </c>
      <c r="E392" t="str">
        <f>"202110066135"</f>
        <v>202110066135</v>
      </c>
      <c r="F392" t="str">
        <f>"PER DIEM"</f>
        <v>PER DIEM</v>
      </c>
      <c r="G392" s="3">
        <v>90</v>
      </c>
      <c r="H392" t="str">
        <f>"PER DIEM"</f>
        <v>PER DIEM</v>
      </c>
    </row>
    <row r="393" spans="1:8" x14ac:dyDescent="0.25">
      <c r="A393" t="s">
        <v>84</v>
      </c>
      <c r="B393">
        <v>5190</v>
      </c>
      <c r="C393" s="3">
        <v>849</v>
      </c>
      <c r="D393" s="4">
        <v>44482</v>
      </c>
      <c r="E393" t="str">
        <f>"21001-2"</f>
        <v>21001-2</v>
      </c>
      <c r="F393" t="str">
        <f>"INSTALL ATTIC CABLES/IT"</f>
        <v>INSTALL ATTIC CABLES/IT</v>
      </c>
      <c r="G393" s="3">
        <v>514</v>
      </c>
      <c r="H393" t="str">
        <f>"INSTALL ATTIC CABLES/IT"</f>
        <v>INSTALL ATTIC CABLES/IT</v>
      </c>
    </row>
    <row r="394" spans="1:8" x14ac:dyDescent="0.25">
      <c r="E394" t="str">
        <f>"21146"</f>
        <v>21146</v>
      </c>
      <c r="F394" t="str">
        <f>"INSTALL DATA CABLE"</f>
        <v>INSTALL DATA CABLE</v>
      </c>
      <c r="G394" s="3">
        <v>335</v>
      </c>
      <c r="H394" t="str">
        <f>"INSTALL DATA CABLE"</f>
        <v>INSTALL DATA CABLE</v>
      </c>
    </row>
    <row r="395" spans="1:8" x14ac:dyDescent="0.25">
      <c r="A395" t="s">
        <v>84</v>
      </c>
      <c r="B395">
        <v>5271</v>
      </c>
      <c r="C395" s="3">
        <v>1494</v>
      </c>
      <c r="D395" s="4">
        <v>44495</v>
      </c>
      <c r="E395" t="str">
        <f>"21136"</f>
        <v>21136</v>
      </c>
      <c r="F395" t="str">
        <f>"TERMINATE AND TEST 13 CABLES"</f>
        <v>TERMINATE AND TEST 13 CABLES</v>
      </c>
      <c r="G395" s="3">
        <v>579</v>
      </c>
      <c r="H395" t="str">
        <f>"TERMINATE AND TEST 13 CABLES"</f>
        <v>TERMINATE AND TEST 13 CABLES</v>
      </c>
    </row>
    <row r="396" spans="1:8" x14ac:dyDescent="0.25">
      <c r="E396" t="str">
        <f>"21170-1"</f>
        <v>21170-1</v>
      </c>
      <c r="F396" t="str">
        <f>"PROVIDE &amp; INSTALL CABLES"</f>
        <v>PROVIDE &amp; INSTALL CABLES</v>
      </c>
      <c r="G396" s="3">
        <v>390</v>
      </c>
      <c r="H396" t="str">
        <f>"PROVIDE &amp; INSTALL CABLES"</f>
        <v>PROVIDE &amp; INSTALL CABLES</v>
      </c>
    </row>
    <row r="397" spans="1:8" x14ac:dyDescent="0.25">
      <c r="E397" t="str">
        <f>"21170-2"</f>
        <v>21170-2</v>
      </c>
      <c r="F397" t="str">
        <f>"INSTALL/MATERIAL/LABOR/21170RR"</f>
        <v>INSTALL/MATERIAL/LABOR/21170RR</v>
      </c>
      <c r="G397" s="3">
        <v>525</v>
      </c>
      <c r="H397" t="str">
        <f>"INSTALL/MATERIAL/LABOR/21170RR"</f>
        <v>INSTALL/MATERIAL/LABOR/21170RR</v>
      </c>
    </row>
    <row r="398" spans="1:8" x14ac:dyDescent="0.25">
      <c r="A398" t="s">
        <v>85</v>
      </c>
      <c r="B398">
        <v>5215</v>
      </c>
      <c r="C398" s="3">
        <v>1487.57</v>
      </c>
      <c r="D398" s="4">
        <v>44482</v>
      </c>
      <c r="E398" t="str">
        <f>"IG00891"</f>
        <v>IG00891</v>
      </c>
      <c r="F398" t="str">
        <f>"ACCT#063/PCT#1"</f>
        <v>ACCT#063/PCT#1</v>
      </c>
      <c r="G398" s="3">
        <v>400.12</v>
      </c>
      <c r="H398" t="str">
        <f>"ACCT#063/PCT#1"</f>
        <v>ACCT#063/PCT#1</v>
      </c>
    </row>
    <row r="399" spans="1:8" x14ac:dyDescent="0.25">
      <c r="E399" t="str">
        <f>"IG00921"</f>
        <v>IG00921</v>
      </c>
      <c r="F399" t="str">
        <f>"SUPPLIES/PCT#2"</f>
        <v>SUPPLIES/PCT#2</v>
      </c>
      <c r="G399" s="3">
        <v>671.61</v>
      </c>
      <c r="H399" t="str">
        <f>"SUPPLIES/PCT#2"</f>
        <v>SUPPLIES/PCT#2</v>
      </c>
    </row>
    <row r="400" spans="1:8" x14ac:dyDescent="0.25">
      <c r="E400" t="str">
        <f>"IG00943"</f>
        <v>IG00943</v>
      </c>
      <c r="F400" t="str">
        <f>"ACCT#063/PCT#2"</f>
        <v>ACCT#063/PCT#2</v>
      </c>
      <c r="G400" s="3">
        <v>143.38</v>
      </c>
      <c r="H400" t="str">
        <f>"ACCT#063/PCT#2"</f>
        <v>ACCT#063/PCT#2</v>
      </c>
    </row>
    <row r="401" spans="1:8" x14ac:dyDescent="0.25">
      <c r="E401" t="str">
        <f>"IG00944"</f>
        <v>IG00944</v>
      </c>
      <c r="F401" t="str">
        <f>"SUPPLIES/PCT#2"</f>
        <v>SUPPLIES/PCT#2</v>
      </c>
      <c r="G401" s="3">
        <v>272.45999999999998</v>
      </c>
      <c r="H401" t="str">
        <f>"SUPPLIES/PCT#2"</f>
        <v>SUPPLIES/PCT#2</v>
      </c>
    </row>
    <row r="402" spans="1:8" x14ac:dyDescent="0.25">
      <c r="A402" t="s">
        <v>85</v>
      </c>
      <c r="B402">
        <v>5296</v>
      </c>
      <c r="C402" s="3">
        <v>3156.29</v>
      </c>
      <c r="D402" s="4">
        <v>44495</v>
      </c>
      <c r="E402" t="str">
        <f>"IG00949"</f>
        <v>IG00949</v>
      </c>
      <c r="F402" t="str">
        <f>"ACCT#063/PCT#1"</f>
        <v>ACCT#063/PCT#1</v>
      </c>
      <c r="G402" s="3">
        <v>909.5</v>
      </c>
      <c r="H402" t="str">
        <f>"ACCT#063/PCT#1"</f>
        <v>ACCT#063/PCT#1</v>
      </c>
    </row>
    <row r="403" spans="1:8" x14ac:dyDescent="0.25">
      <c r="E403" t="str">
        <f>"IG00963"</f>
        <v>IG00963</v>
      </c>
      <c r="F403" t="str">
        <f>"ACCT#063/PCT#4"</f>
        <v>ACCT#063/PCT#4</v>
      </c>
      <c r="G403" s="3">
        <v>683.34</v>
      </c>
      <c r="H403" t="str">
        <f>"ACCT#063/PCT#4"</f>
        <v>ACCT#063/PCT#4</v>
      </c>
    </row>
    <row r="404" spans="1:8" x14ac:dyDescent="0.25">
      <c r="E404" t="str">
        <f>"IG00976"</f>
        <v>IG00976</v>
      </c>
      <c r="F404" t="str">
        <f>"PARTS RB1"</f>
        <v>PARTS RB1</v>
      </c>
      <c r="G404" s="3">
        <v>506.31</v>
      </c>
      <c r="H404" t="str">
        <f>"PARTS RB1"</f>
        <v>PARTS RB1</v>
      </c>
    </row>
    <row r="405" spans="1:8" x14ac:dyDescent="0.25">
      <c r="E405" t="str">
        <f>"IN54504"</f>
        <v>IN54504</v>
      </c>
      <c r="F405" t="str">
        <f>"FREIGHT/PARTS RB1"</f>
        <v>FREIGHT/PARTS RB1</v>
      </c>
      <c r="G405" s="3">
        <v>285</v>
      </c>
      <c r="H405" t="str">
        <f>"FREIGHT/PARTS RB1"</f>
        <v>FREIGHT/PARTS RB1</v>
      </c>
    </row>
    <row r="406" spans="1:8" x14ac:dyDescent="0.25">
      <c r="E406" t="str">
        <f>"IN54668"</f>
        <v>IN54668</v>
      </c>
      <c r="F406" t="str">
        <f>"FREIGHT &amp; PARTS RB1"</f>
        <v>FREIGHT &amp; PARTS RB1</v>
      </c>
      <c r="G406" s="3">
        <v>90</v>
      </c>
      <c r="H406" t="str">
        <f>"FREIGHT &amp; PARTS RB1"</f>
        <v>FREIGHT &amp; PARTS RB1</v>
      </c>
    </row>
    <row r="407" spans="1:8" x14ac:dyDescent="0.25">
      <c r="E407" t="str">
        <f>"IN54670"</f>
        <v>IN54670</v>
      </c>
      <c r="F407" t="str">
        <f>"FREIGHT/PARTS PCT2"</f>
        <v>FREIGHT/PARTS PCT2</v>
      </c>
      <c r="G407" s="3">
        <v>297.26</v>
      </c>
      <c r="H407" t="str">
        <f>"FREIGHT/PARTS PCT2"</f>
        <v>FREIGHT/PARTS PCT2</v>
      </c>
    </row>
    <row r="408" spans="1:8" x14ac:dyDescent="0.25">
      <c r="E408" t="str">
        <f>"IN54674"</f>
        <v>IN54674</v>
      </c>
      <c r="F408" t="str">
        <f>"ACCT#063/PCT#4"</f>
        <v>ACCT#063/PCT#4</v>
      </c>
      <c r="G408" s="3">
        <v>88.04</v>
      </c>
      <c r="H408" t="str">
        <f>"ACCT#063/PCT#4"</f>
        <v>ACCT#063/PCT#4</v>
      </c>
    </row>
    <row r="409" spans="1:8" x14ac:dyDescent="0.25">
      <c r="E409" t="str">
        <f>"IN54675"</f>
        <v>IN54675</v>
      </c>
      <c r="F409" t="str">
        <f>"PARTS RB1"</f>
        <v>PARTS RB1</v>
      </c>
      <c r="G409" s="3">
        <v>296.83999999999997</v>
      </c>
      <c r="H409" t="str">
        <f>"PARTS RB1"</f>
        <v>PARTS RB1</v>
      </c>
    </row>
    <row r="410" spans="1:8" x14ac:dyDescent="0.25">
      <c r="A410" t="s">
        <v>86</v>
      </c>
      <c r="B410">
        <v>137466</v>
      </c>
      <c r="C410" s="3">
        <v>200</v>
      </c>
      <c r="D410" s="4">
        <v>44494</v>
      </c>
      <c r="E410" t="str">
        <f>"202110186575"</f>
        <v>202110186575</v>
      </c>
      <c r="F410" t="str">
        <f>"MEMBERSHIP DUES-PAUL PAPE"</f>
        <v>MEMBERSHIP DUES-PAUL PAPE</v>
      </c>
      <c r="G410" s="3">
        <v>16.670000000000002</v>
      </c>
      <c r="H410" t="str">
        <f>"MEMBERSHIP DUES-PAUL PAPE"</f>
        <v>MEMBERSHIP DUES-PAUL PAPE</v>
      </c>
    </row>
    <row r="411" spans="1:8" x14ac:dyDescent="0.25">
      <c r="E411" t="str">
        <f>"202110186576"</f>
        <v>202110186576</v>
      </c>
      <c r="F411" t="str">
        <f>"MEMBERSHIP DUES-PAUL PAPE"</f>
        <v>MEMBERSHIP DUES-PAUL PAPE</v>
      </c>
      <c r="G411" s="3">
        <v>183.33</v>
      </c>
      <c r="H411" t="str">
        <f>"MEMBERSHIP DUES-PAUL PAPE"</f>
        <v>MEMBERSHIP DUES-PAUL PAPE</v>
      </c>
    </row>
    <row r="412" spans="1:8" x14ac:dyDescent="0.25">
      <c r="A412" t="s">
        <v>87</v>
      </c>
      <c r="B412">
        <v>137467</v>
      </c>
      <c r="C412" s="3">
        <v>75</v>
      </c>
      <c r="D412" s="4">
        <v>44494</v>
      </c>
      <c r="E412" t="str">
        <f>"13506"</f>
        <v>13506</v>
      </c>
      <c r="F412" t="str">
        <f>"SERVICE"</f>
        <v>SERVICE</v>
      </c>
      <c r="G412" s="3">
        <v>75</v>
      </c>
      <c r="H412" t="str">
        <f>"SERVICE"</f>
        <v>SERVICE</v>
      </c>
    </row>
    <row r="413" spans="1:8" x14ac:dyDescent="0.25">
      <c r="A413" t="s">
        <v>88</v>
      </c>
      <c r="B413">
        <v>137231</v>
      </c>
      <c r="C413" s="3">
        <v>967.52</v>
      </c>
      <c r="D413" s="4">
        <v>44481</v>
      </c>
      <c r="E413" t="str">
        <f>"VJ04189"</f>
        <v>VJ04189</v>
      </c>
      <c r="F413" t="str">
        <f>"ACCT#68930/ANIMAL SERVICES"</f>
        <v>ACCT#68930/ANIMAL SERVICES</v>
      </c>
      <c r="G413" s="3">
        <v>217.94</v>
      </c>
      <c r="H413" t="str">
        <f>"ACCT#68930/ANIMAL SERVICES"</f>
        <v>ACCT#68930/ANIMAL SERVICES</v>
      </c>
    </row>
    <row r="414" spans="1:8" x14ac:dyDescent="0.25">
      <c r="E414" t="str">
        <f>"VJ5482"</f>
        <v>VJ5482</v>
      </c>
      <c r="F414" t="str">
        <f>"ACCT#68930/ANIMAL SERVICES"</f>
        <v>ACCT#68930/ANIMAL SERVICES</v>
      </c>
      <c r="G414" s="3">
        <v>302.93</v>
      </c>
      <c r="H414" t="str">
        <f>"ACCT#68930/ANIMAL SERVICES"</f>
        <v>ACCT#68930/ANIMAL SERVICES</v>
      </c>
    </row>
    <row r="415" spans="1:8" x14ac:dyDescent="0.25">
      <c r="E415" t="str">
        <f>"VJ78203"</f>
        <v>VJ78203</v>
      </c>
      <c r="F415" t="str">
        <f>"ACCT#68930/ANIMAL SERVICES"</f>
        <v>ACCT#68930/ANIMAL SERVICES</v>
      </c>
      <c r="G415" s="3">
        <v>446.65</v>
      </c>
      <c r="H415" t="str">
        <f>"ACCT#68930/ANIMAL SERVICES"</f>
        <v>ACCT#68930/ANIMAL SERVICES</v>
      </c>
    </row>
    <row r="416" spans="1:8" x14ac:dyDescent="0.25">
      <c r="A416" t="s">
        <v>88</v>
      </c>
      <c r="B416">
        <v>137468</v>
      </c>
      <c r="C416" s="3">
        <v>879.08</v>
      </c>
      <c r="D416" s="4">
        <v>44494</v>
      </c>
      <c r="E416" t="str">
        <f>"VK25039"</f>
        <v>VK25039</v>
      </c>
      <c r="F416" t="str">
        <f>"ACCT#68930/ANIMAL SVCS"</f>
        <v>ACCT#68930/ANIMAL SVCS</v>
      </c>
      <c r="G416" s="3">
        <v>506</v>
      </c>
      <c r="H416" t="str">
        <f>"ACCT#68930/ANIMAL SVCS"</f>
        <v>ACCT#68930/ANIMAL SVCS</v>
      </c>
    </row>
    <row r="417" spans="1:8" x14ac:dyDescent="0.25">
      <c r="E417" t="str">
        <f>"VL32861"</f>
        <v>VL32861</v>
      </c>
      <c r="F417" t="str">
        <f>"ACCT#68930/ANIMAL SVCS"</f>
        <v>ACCT#68930/ANIMAL SVCS</v>
      </c>
      <c r="G417" s="3">
        <v>373.08</v>
      </c>
      <c r="H417" t="str">
        <f>"ACCT#68930/ANIMAL SVCS"</f>
        <v>ACCT#68930/ANIMAL SVCS</v>
      </c>
    </row>
    <row r="418" spans="1:8" x14ac:dyDescent="0.25">
      <c r="A418" t="s">
        <v>89</v>
      </c>
      <c r="B418">
        <v>137232</v>
      </c>
      <c r="C418" s="3">
        <v>25</v>
      </c>
      <c r="D418" s="4">
        <v>44481</v>
      </c>
      <c r="E418" t="s">
        <v>90</v>
      </c>
      <c r="F418" s="3" t="str">
        <f>"RESTITUTION - MARCUS MANZANARE"</f>
        <v>RESTITUTION - MARCUS MANZANARE</v>
      </c>
      <c r="G418" s="3">
        <v>25</v>
      </c>
      <c r="H418" s="3" t="str">
        <f>"RESTITUTION - MARCUS MANZANARE"</f>
        <v>RESTITUTION - MARCUS MANZANARE</v>
      </c>
    </row>
    <row r="419" spans="1:8" x14ac:dyDescent="0.25">
      <c r="A419" t="s">
        <v>91</v>
      </c>
      <c r="B419">
        <v>5291</v>
      </c>
      <c r="C419" s="3">
        <v>5160</v>
      </c>
      <c r="D419" s="4">
        <v>44495</v>
      </c>
      <c r="E419" t="str">
        <f>"202110146444"</f>
        <v>202110146444</v>
      </c>
      <c r="F419" t="str">
        <f>"BC-20191225A"</f>
        <v>BC-20191225A</v>
      </c>
      <c r="G419" s="3">
        <v>400</v>
      </c>
      <c r="H419" t="str">
        <f>"BC-20191225A"</f>
        <v>BC-20191225A</v>
      </c>
    </row>
    <row r="420" spans="1:8" x14ac:dyDescent="0.25">
      <c r="E420" t="str">
        <f>"202110146445"</f>
        <v>202110146445</v>
      </c>
      <c r="F420" t="str">
        <f>"BC-20191210A BC-20191210B"</f>
        <v>BC-20191210A BC-20191210B</v>
      </c>
      <c r="G420" s="3">
        <v>800</v>
      </c>
      <c r="H420" t="str">
        <f>"BC-20191210A BC-20191210B"</f>
        <v>BC-20191210A BC-20191210B</v>
      </c>
    </row>
    <row r="421" spans="1:8" x14ac:dyDescent="0.25">
      <c r="E421" t="str">
        <f>"202110146446"</f>
        <v>202110146446</v>
      </c>
      <c r="F421" t="str">
        <f>"17066 UMV"</f>
        <v>17066 UMV</v>
      </c>
      <c r="G421" s="3">
        <v>400</v>
      </c>
      <c r="H421" t="str">
        <f>"17066 UMV"</f>
        <v>17066 UMV</v>
      </c>
    </row>
    <row r="422" spans="1:8" x14ac:dyDescent="0.25">
      <c r="E422" t="str">
        <f>"202110146447"</f>
        <v>202110146447</v>
      </c>
      <c r="F422" t="str">
        <f>"20200050 1009-335"</f>
        <v>20200050 1009-335</v>
      </c>
      <c r="G422" s="3">
        <v>500</v>
      </c>
      <c r="H422" t="str">
        <f>"20200050 1009-335"</f>
        <v>20200050 1009-335</v>
      </c>
    </row>
    <row r="423" spans="1:8" x14ac:dyDescent="0.25">
      <c r="E423" t="str">
        <f>"202110146470"</f>
        <v>202110146470</v>
      </c>
      <c r="F423" t="str">
        <f>"20-20216"</f>
        <v>20-20216</v>
      </c>
      <c r="G423" s="3">
        <v>877.5</v>
      </c>
      <c r="H423" t="str">
        <f>"20-20216"</f>
        <v>20-20216</v>
      </c>
    </row>
    <row r="424" spans="1:8" x14ac:dyDescent="0.25">
      <c r="E424" t="str">
        <f>"202110156556"</f>
        <v>202110156556</v>
      </c>
      <c r="F424" t="str">
        <f>"20-20060"</f>
        <v>20-20060</v>
      </c>
      <c r="G424" s="3">
        <v>2100</v>
      </c>
      <c r="H424" t="str">
        <f>"20-20060"</f>
        <v>20-20060</v>
      </c>
    </row>
    <row r="425" spans="1:8" x14ac:dyDescent="0.25">
      <c r="E425" t="str">
        <f>"202110156557"</f>
        <v>202110156557</v>
      </c>
      <c r="F425" t="str">
        <f>"19-19987"</f>
        <v>19-19987</v>
      </c>
      <c r="G425" s="3">
        <v>82.5</v>
      </c>
      <c r="H425" t="str">
        <f>"19-19987"</f>
        <v>19-19987</v>
      </c>
    </row>
    <row r="426" spans="1:8" x14ac:dyDescent="0.25">
      <c r="A426" t="s">
        <v>92</v>
      </c>
      <c r="B426">
        <v>5212</v>
      </c>
      <c r="C426" s="3">
        <v>100</v>
      </c>
      <c r="D426" s="4">
        <v>44482</v>
      </c>
      <c r="E426" t="str">
        <f>"202110045978"</f>
        <v>202110045978</v>
      </c>
      <c r="F426" t="str">
        <f>"SEP 2021"</f>
        <v>SEP 2021</v>
      </c>
      <c r="G426" s="3">
        <v>100</v>
      </c>
      <c r="H426" t="str">
        <f>"SEP 2021"</f>
        <v>SEP 2021</v>
      </c>
    </row>
    <row r="427" spans="1:8" x14ac:dyDescent="0.25">
      <c r="A427" t="s">
        <v>93</v>
      </c>
      <c r="B427">
        <v>5269</v>
      </c>
      <c r="C427" s="3">
        <v>2057.5</v>
      </c>
      <c r="D427" s="4">
        <v>44495</v>
      </c>
      <c r="E427" t="str">
        <f>"202110146457"</f>
        <v>202110146457</v>
      </c>
      <c r="F427" t="str">
        <f>"423-5800"</f>
        <v>423-5800</v>
      </c>
      <c r="G427" s="3">
        <v>100</v>
      </c>
      <c r="H427" t="str">
        <f>"423-5800"</f>
        <v>423-5800</v>
      </c>
    </row>
    <row r="428" spans="1:8" x14ac:dyDescent="0.25">
      <c r="E428" t="str">
        <f>"202110146493"</f>
        <v>202110146493</v>
      </c>
      <c r="F428" t="str">
        <f>"04-8785"</f>
        <v>04-8785</v>
      </c>
      <c r="G428" s="3">
        <v>137.5</v>
      </c>
      <c r="H428" t="str">
        <f>"04-8785"</f>
        <v>04-8785</v>
      </c>
    </row>
    <row r="429" spans="1:8" x14ac:dyDescent="0.25">
      <c r="E429" t="str">
        <f>"202110146494"</f>
        <v>202110146494</v>
      </c>
      <c r="F429" t="str">
        <f>"07-12260"</f>
        <v>07-12260</v>
      </c>
      <c r="G429" s="3">
        <v>137.5</v>
      </c>
      <c r="H429" t="str">
        <f>"07-12260"</f>
        <v>07-12260</v>
      </c>
    </row>
    <row r="430" spans="1:8" x14ac:dyDescent="0.25">
      <c r="E430" t="str">
        <f>"202110146495"</f>
        <v>202110146495</v>
      </c>
      <c r="F430" t="str">
        <f>"20-20030"</f>
        <v>20-20030</v>
      </c>
      <c r="G430" s="3">
        <v>217.5</v>
      </c>
      <c r="H430" t="str">
        <f>"20-20030"</f>
        <v>20-20030</v>
      </c>
    </row>
    <row r="431" spans="1:8" x14ac:dyDescent="0.25">
      <c r="E431" t="str">
        <f>"202110146496"</f>
        <v>202110146496</v>
      </c>
      <c r="F431" t="str">
        <f>"21-20905"</f>
        <v>21-20905</v>
      </c>
      <c r="G431" s="3">
        <v>272.5</v>
      </c>
      <c r="H431" t="str">
        <f>"21-20905"</f>
        <v>21-20905</v>
      </c>
    </row>
    <row r="432" spans="1:8" x14ac:dyDescent="0.25">
      <c r="E432" t="str">
        <f>"202110146497"</f>
        <v>202110146497</v>
      </c>
      <c r="F432" t="str">
        <f>"21-20868"</f>
        <v>21-20868</v>
      </c>
      <c r="G432" s="3">
        <v>97.5</v>
      </c>
      <c r="H432" t="str">
        <f>"21-20868"</f>
        <v>21-20868</v>
      </c>
    </row>
    <row r="433" spans="1:8" x14ac:dyDescent="0.25">
      <c r="E433" t="str">
        <f>"202110146498"</f>
        <v>202110146498</v>
      </c>
      <c r="F433" t="str">
        <f>"20-20426"</f>
        <v>20-20426</v>
      </c>
      <c r="G433" s="3">
        <v>105</v>
      </c>
      <c r="H433" t="str">
        <f>"20-20426"</f>
        <v>20-20426</v>
      </c>
    </row>
    <row r="434" spans="1:8" x14ac:dyDescent="0.25">
      <c r="E434" t="str">
        <f>"202110146499"</f>
        <v>202110146499</v>
      </c>
      <c r="F434" t="str">
        <f>"20-20394"</f>
        <v>20-20394</v>
      </c>
      <c r="G434" s="3">
        <v>202.5</v>
      </c>
      <c r="H434" t="str">
        <f>"20-20394"</f>
        <v>20-20394</v>
      </c>
    </row>
    <row r="435" spans="1:8" x14ac:dyDescent="0.25">
      <c r="E435" t="str">
        <f>"202110146500"</f>
        <v>202110146500</v>
      </c>
      <c r="F435" t="str">
        <f>"20-20056"</f>
        <v>20-20056</v>
      </c>
      <c r="G435" s="3">
        <v>652.5</v>
      </c>
      <c r="H435" t="str">
        <f>"20-20056"</f>
        <v>20-20056</v>
      </c>
    </row>
    <row r="436" spans="1:8" x14ac:dyDescent="0.25">
      <c r="E436" t="str">
        <f>"202110146501"</f>
        <v>202110146501</v>
      </c>
      <c r="F436" t="str">
        <f>"19-19931"</f>
        <v>19-19931</v>
      </c>
      <c r="G436" s="3">
        <v>135</v>
      </c>
      <c r="H436" t="str">
        <f>"19-19931"</f>
        <v>19-19931</v>
      </c>
    </row>
    <row r="437" spans="1:8" x14ac:dyDescent="0.25">
      <c r="A437" t="s">
        <v>94</v>
      </c>
      <c r="B437">
        <v>137233</v>
      </c>
      <c r="C437" s="3">
        <v>1233.71</v>
      </c>
      <c r="D437" s="4">
        <v>44481</v>
      </c>
      <c r="E437" t="str">
        <f>"2301907"</f>
        <v>2301907</v>
      </c>
      <c r="F437" t="str">
        <f>"INV 2301907"</f>
        <v>INV 2301907</v>
      </c>
      <c r="G437" s="3">
        <v>640.58000000000004</v>
      </c>
      <c r="H437" t="str">
        <f>"INV 2301907"</f>
        <v>INV 2301907</v>
      </c>
    </row>
    <row r="438" spans="1:8" x14ac:dyDescent="0.25">
      <c r="E438" t="str">
        <f>"2307748"</f>
        <v>2307748</v>
      </c>
      <c r="F438" t="str">
        <f>"INV 2307748"</f>
        <v>INV 2307748</v>
      </c>
      <c r="G438" s="3">
        <v>593.13</v>
      </c>
      <c r="H438" t="str">
        <f>"INV 2307748"</f>
        <v>INV 2307748</v>
      </c>
    </row>
    <row r="439" spans="1:8" x14ac:dyDescent="0.25">
      <c r="A439" t="s">
        <v>94</v>
      </c>
      <c r="B439">
        <v>137469</v>
      </c>
      <c r="C439" s="3">
        <v>1202.76</v>
      </c>
      <c r="D439" s="4">
        <v>44494</v>
      </c>
      <c r="E439" t="str">
        <f>"2314013/2319917"</f>
        <v>2314013/2319917</v>
      </c>
      <c r="F439" t="str">
        <f>"INV 2314013  2319917"</f>
        <v>INV 2314013  2319917</v>
      </c>
      <c r="G439" s="3">
        <v>553.27</v>
      </c>
      <c r="H439" t="str">
        <f>"INV 2314013"</f>
        <v>INV 2314013</v>
      </c>
    </row>
    <row r="440" spans="1:8" x14ac:dyDescent="0.25">
      <c r="E440" t="str">
        <f>""</f>
        <v/>
      </c>
      <c r="F440" t="str">
        <f>""</f>
        <v/>
      </c>
      <c r="G440" s="3">
        <v>649.49</v>
      </c>
      <c r="H440" t="str">
        <f>"INV 2319917"</f>
        <v>INV 2319917</v>
      </c>
    </row>
    <row r="441" spans="1:8" x14ac:dyDescent="0.25">
      <c r="A441" t="s">
        <v>95</v>
      </c>
      <c r="B441">
        <v>137234</v>
      </c>
      <c r="C441" s="3">
        <v>199.98</v>
      </c>
      <c r="D441" s="4">
        <v>44481</v>
      </c>
      <c r="E441" t="str">
        <f>"10519710947"</f>
        <v>10519710947</v>
      </c>
      <c r="F441" t="str">
        <f>"DELL"</f>
        <v>DELL</v>
      </c>
      <c r="G441" s="3">
        <v>199.98</v>
      </c>
      <c r="H441" t="str">
        <f>"INV 10519710947"</f>
        <v>INV 10519710947</v>
      </c>
    </row>
    <row r="442" spans="1:8" x14ac:dyDescent="0.25">
      <c r="A442" t="s">
        <v>95</v>
      </c>
      <c r="B442">
        <v>137470</v>
      </c>
      <c r="C442" s="3">
        <v>44.09</v>
      </c>
      <c r="D442" s="4">
        <v>44494</v>
      </c>
      <c r="E442" t="str">
        <f>"24932"</f>
        <v>24932</v>
      </c>
      <c r="F442" t="str">
        <f>"DELL Power Cord"</f>
        <v>DELL Power Cord</v>
      </c>
      <c r="G442" s="3">
        <v>44.09</v>
      </c>
      <c r="H442" t="str">
        <f>"DELL Power Cord"</f>
        <v>DELL Power Cord</v>
      </c>
    </row>
    <row r="443" spans="1:8" x14ac:dyDescent="0.25">
      <c r="A443" t="s">
        <v>96</v>
      </c>
      <c r="B443">
        <v>5216</v>
      </c>
      <c r="C443" s="3">
        <v>1270</v>
      </c>
      <c r="D443" s="4">
        <v>44482</v>
      </c>
      <c r="E443" t="str">
        <f>"BATX017520"</f>
        <v>BATX017520</v>
      </c>
      <c r="F443" t="str">
        <f>"INV BATX017520"</f>
        <v>INV BATX017520</v>
      </c>
      <c r="G443" s="3">
        <v>1270</v>
      </c>
      <c r="H443" t="str">
        <f>"INV BATX017520"</f>
        <v>INV BATX017520</v>
      </c>
    </row>
    <row r="444" spans="1:8" x14ac:dyDescent="0.25">
      <c r="A444" t="s">
        <v>97</v>
      </c>
      <c r="B444">
        <v>137235</v>
      </c>
      <c r="C444" s="3">
        <v>600</v>
      </c>
      <c r="D444" s="4">
        <v>44481</v>
      </c>
      <c r="E444" t="str">
        <f>"202109305929"</f>
        <v>202109305929</v>
      </c>
      <c r="F444" t="str">
        <f>"REIMBURSE/DIANA DE LA TORRE"</f>
        <v>REIMBURSE/DIANA DE LA TORRE</v>
      </c>
      <c r="G444" s="3">
        <v>600</v>
      </c>
      <c r="H444" t="str">
        <f>"REIMBURSE/DIANA DE LA TORRE"</f>
        <v>REIMBURSE/DIANA DE LA TORRE</v>
      </c>
    </row>
    <row r="445" spans="1:8" x14ac:dyDescent="0.25">
      <c r="A445" t="s">
        <v>98</v>
      </c>
      <c r="B445">
        <v>137471</v>
      </c>
      <c r="C445" s="3">
        <v>44</v>
      </c>
      <c r="D445" s="4">
        <v>44494</v>
      </c>
      <c r="E445" t="str">
        <f>"28517"</f>
        <v>28517</v>
      </c>
      <c r="F445" t="str">
        <f>"KEY BY CODE T-HANDLE/ENV SVCS"</f>
        <v>KEY BY CODE T-HANDLE/ENV SVCS</v>
      </c>
      <c r="G445" s="3">
        <v>35</v>
      </c>
      <c r="H445" t="str">
        <f>"KEY BY CODE T-HANDLE/ENV SVCS"</f>
        <v>KEY BY CODE T-HANDLE/ENV SVCS</v>
      </c>
    </row>
    <row r="446" spans="1:8" x14ac:dyDescent="0.25">
      <c r="E446" t="str">
        <f>"28545"</f>
        <v>28545</v>
      </c>
      <c r="F446" t="str">
        <f>"DUPLICATE KEYS"</f>
        <v>DUPLICATE KEYS</v>
      </c>
      <c r="G446" s="3">
        <v>9</v>
      </c>
      <c r="H446" t="str">
        <f>"DUPLICATE KEYS"</f>
        <v>DUPLICATE KEYS</v>
      </c>
    </row>
    <row r="447" spans="1:8" x14ac:dyDescent="0.25">
      <c r="A447" t="s">
        <v>99</v>
      </c>
      <c r="B447">
        <v>137236</v>
      </c>
      <c r="C447" s="3">
        <v>340.38</v>
      </c>
      <c r="D447" s="4">
        <v>44481</v>
      </c>
      <c r="E447" t="str">
        <f>"33401"</f>
        <v>33401</v>
      </c>
      <c r="F447" t="str">
        <f>"SO#29776/PCT#4"</f>
        <v>SO#29776/PCT#4</v>
      </c>
      <c r="G447" s="3">
        <v>84.3</v>
      </c>
      <c r="H447" t="str">
        <f>"SO#29776/PCT#4"</f>
        <v>SO#29776/PCT#4</v>
      </c>
    </row>
    <row r="448" spans="1:8" x14ac:dyDescent="0.25">
      <c r="E448" t="str">
        <f>"34093"</f>
        <v>34093</v>
      </c>
      <c r="F448" t="str">
        <f>"ACCT#30385/PCT#4"</f>
        <v>ACCT#30385/PCT#4</v>
      </c>
      <c r="G448" s="3">
        <v>256.08</v>
      </c>
      <c r="H448" t="str">
        <f>"ACCT#30385/PCT#4"</f>
        <v>ACCT#30385/PCT#4</v>
      </c>
    </row>
    <row r="449" spans="1:8" x14ac:dyDescent="0.25">
      <c r="A449" t="s">
        <v>99</v>
      </c>
      <c r="B449">
        <v>137472</v>
      </c>
      <c r="C449" s="3">
        <v>25</v>
      </c>
      <c r="D449" s="4">
        <v>44494</v>
      </c>
      <c r="E449" t="str">
        <f>"34219"</f>
        <v>34219</v>
      </c>
      <c r="F449" t="str">
        <f>"2/0 CABLE CONNECTORS/PCT#3"</f>
        <v>2/0 CABLE CONNECTORS/PCT#3</v>
      </c>
      <c r="G449" s="3">
        <v>25</v>
      </c>
      <c r="H449" t="str">
        <f>"2/0 CABLE CONNECTORS/PCT#3"</f>
        <v>2/0 CABLE CONNECTORS/PCT#3</v>
      </c>
    </row>
    <row r="450" spans="1:8" x14ac:dyDescent="0.25">
      <c r="A450" t="s">
        <v>100</v>
      </c>
      <c r="B450">
        <v>137584</v>
      </c>
      <c r="C450" s="3">
        <v>749.4</v>
      </c>
      <c r="D450" s="4">
        <v>44496</v>
      </c>
      <c r="E450" t="str">
        <f>"202110276656"</f>
        <v>202110276656</v>
      </c>
      <c r="F450" t="str">
        <f>"ACCT#405900029213 /11/01-11/30"</f>
        <v>ACCT#405900029213 /11/01-11/30</v>
      </c>
      <c r="G450" s="3">
        <v>374.7</v>
      </c>
      <c r="H450" t="str">
        <f>"ACCT#405900029213 /11/01-11/30"</f>
        <v>ACCT#405900029213 /11/01-11/30</v>
      </c>
    </row>
    <row r="451" spans="1:8" x14ac:dyDescent="0.25">
      <c r="E451" t="str">
        <f>"202110276657"</f>
        <v>202110276657</v>
      </c>
      <c r="F451" t="str">
        <f>"ACCT#405900029225 /11/01-11/30"</f>
        <v>ACCT#405900029225 /11/01-11/30</v>
      </c>
      <c r="G451" s="3">
        <v>187.35</v>
      </c>
      <c r="H451" t="str">
        <f>"DONNIE STARK"</f>
        <v>DONNIE STARK</v>
      </c>
    </row>
    <row r="452" spans="1:8" x14ac:dyDescent="0.25">
      <c r="E452" t="str">
        <f>"202110276658"</f>
        <v>202110276658</v>
      </c>
      <c r="F452" t="str">
        <f>"ACCT#405900028789 /11/01-11/30"</f>
        <v>ACCT#405900028789 /11/01-11/30</v>
      </c>
      <c r="G452" s="3">
        <v>187.35</v>
      </c>
      <c r="H452" t="str">
        <f>"DONNIE STARK"</f>
        <v>DONNIE STARK</v>
      </c>
    </row>
    <row r="453" spans="1:8" x14ac:dyDescent="0.25">
      <c r="A453" t="s">
        <v>101</v>
      </c>
      <c r="B453">
        <v>137237</v>
      </c>
      <c r="C453" s="3">
        <v>3501.15</v>
      </c>
      <c r="D453" s="4">
        <v>44481</v>
      </c>
      <c r="E453" t="str">
        <f>"SMINV290182"</f>
        <v>SMINV290182</v>
      </c>
      <c r="F453" t="str">
        <f>"DOOR CONTROL SERVICES INC"</f>
        <v>DOOR CONTROL SERVICES INC</v>
      </c>
      <c r="G453" s="3">
        <v>3501.15</v>
      </c>
      <c r="H453" t="str">
        <f>"SMINV290182"</f>
        <v>SMINV290182</v>
      </c>
    </row>
    <row r="454" spans="1:8" x14ac:dyDescent="0.25">
      <c r="A454" t="s">
        <v>102</v>
      </c>
      <c r="B454">
        <v>137238</v>
      </c>
      <c r="C454" s="3">
        <v>25</v>
      </c>
      <c r="D454" s="4">
        <v>44481</v>
      </c>
      <c r="E454" t="s">
        <v>90</v>
      </c>
      <c r="F454" s="3" t="str">
        <f>"RESTITUTION - MARCUS MANAZANAR"</f>
        <v>RESTITUTION - MARCUS MANAZANAR</v>
      </c>
      <c r="G454" s="3">
        <v>25</v>
      </c>
      <c r="H454" s="3" t="str">
        <f>"RESTITUTION - MARCUS MANAZANAR"</f>
        <v>RESTITUTION - MARCUS MANAZANAR</v>
      </c>
    </row>
    <row r="455" spans="1:8" x14ac:dyDescent="0.25">
      <c r="A455" t="s">
        <v>103</v>
      </c>
      <c r="B455">
        <v>5282</v>
      </c>
      <c r="C455" s="3">
        <v>2103.9299999999998</v>
      </c>
      <c r="D455" s="4">
        <v>44495</v>
      </c>
      <c r="E455" t="str">
        <f>"30104B"</f>
        <v>30104B</v>
      </c>
      <c r="F455" t="str">
        <f>"INV 30104B"</f>
        <v>INV 30104B</v>
      </c>
      <c r="G455" s="3">
        <v>2103.9299999999998</v>
      </c>
      <c r="H455" t="str">
        <f>"INV 30104B"</f>
        <v>INV 30104B</v>
      </c>
    </row>
    <row r="456" spans="1:8" x14ac:dyDescent="0.25">
      <c r="A456" t="s">
        <v>104</v>
      </c>
      <c r="B456">
        <v>137239</v>
      </c>
      <c r="C456" s="3">
        <v>594.29</v>
      </c>
      <c r="D456" s="4">
        <v>44481</v>
      </c>
      <c r="E456" t="str">
        <f>"42809"</f>
        <v>42809</v>
      </c>
      <c r="F456" t="str">
        <f>"UNIT #J1/PCT#4"</f>
        <v>UNIT #J1/PCT#4</v>
      </c>
      <c r="G456" s="3">
        <v>594.29</v>
      </c>
      <c r="H456" t="str">
        <f>"UNIT #J1/PCT#4"</f>
        <v>UNIT #J1/PCT#4</v>
      </c>
    </row>
    <row r="457" spans="1:8" x14ac:dyDescent="0.25">
      <c r="A457" t="s">
        <v>105</v>
      </c>
      <c r="B457">
        <v>5174</v>
      </c>
      <c r="C457" s="3">
        <v>1245</v>
      </c>
      <c r="D457" s="4">
        <v>44477</v>
      </c>
      <c r="E457" t="str">
        <f>"202110076277"</f>
        <v>202110076277</v>
      </c>
      <c r="F457" t="str">
        <f>"REISSUE - 20-20394"</f>
        <v>REISSUE - 20-20394</v>
      </c>
      <c r="G457" s="3">
        <v>882.5</v>
      </c>
      <c r="H457" t="str">
        <f>"REISSUE - 20-20394"</f>
        <v>REISSUE - 20-20394</v>
      </c>
    </row>
    <row r="458" spans="1:8" x14ac:dyDescent="0.25">
      <c r="E458" t="str">
        <f>"202110076278"</f>
        <v>202110076278</v>
      </c>
      <c r="F458" t="str">
        <f>"REISSUE - 21-20868"</f>
        <v>REISSUE - 21-20868</v>
      </c>
      <c r="G458" s="3">
        <v>250</v>
      </c>
      <c r="H458" t="str">
        <f>"DUNNE &amp; JUAREZ L.L.C."</f>
        <v>DUNNE &amp; JUAREZ L.L.C.</v>
      </c>
    </row>
    <row r="459" spans="1:8" x14ac:dyDescent="0.25">
      <c r="E459" t="str">
        <f>"202110076279"</f>
        <v>202110076279</v>
      </c>
      <c r="F459" t="str">
        <f>"REISSUE - 20-20403"</f>
        <v>REISSUE - 20-20403</v>
      </c>
      <c r="G459" s="3">
        <v>112.5</v>
      </c>
      <c r="H459" t="str">
        <f>"DUNNE &amp; JUAREZ L.L.C."</f>
        <v>DUNNE &amp; JUAREZ L.L.C.</v>
      </c>
    </row>
    <row r="460" spans="1:8" x14ac:dyDescent="0.25">
      <c r="A460" t="s">
        <v>105</v>
      </c>
      <c r="B460">
        <v>5242</v>
      </c>
      <c r="C460" s="3">
        <v>2862.5</v>
      </c>
      <c r="D460" s="4">
        <v>44482</v>
      </c>
      <c r="E460" t="str">
        <f>"202110056022"</f>
        <v>202110056022</v>
      </c>
      <c r="F460" t="str">
        <f>"56936"</f>
        <v>56936</v>
      </c>
      <c r="G460" s="3">
        <v>375</v>
      </c>
      <c r="H460" t="str">
        <f>"56936"</f>
        <v>56936</v>
      </c>
    </row>
    <row r="461" spans="1:8" x14ac:dyDescent="0.25">
      <c r="E461" t="str">
        <f>"202110056023"</f>
        <v>202110056023</v>
      </c>
      <c r="F461" t="str">
        <f>"17-18433"</f>
        <v>17-18433</v>
      </c>
      <c r="G461" s="3">
        <v>1225</v>
      </c>
      <c r="H461" t="str">
        <f>"17-18433"</f>
        <v>17-18433</v>
      </c>
    </row>
    <row r="462" spans="1:8" x14ac:dyDescent="0.25">
      <c r="E462" t="str">
        <f>"202110056024"</f>
        <v>202110056024</v>
      </c>
      <c r="F462" t="str">
        <f>"19-19994"</f>
        <v>19-19994</v>
      </c>
      <c r="G462" s="3">
        <v>862.5</v>
      </c>
      <c r="H462" t="str">
        <f>"19-19994"</f>
        <v>19-19994</v>
      </c>
    </row>
    <row r="463" spans="1:8" x14ac:dyDescent="0.25">
      <c r="E463" t="str">
        <f>"202110056067"</f>
        <v>202110056067</v>
      </c>
      <c r="F463" t="str">
        <f>"02-0919-2"</f>
        <v>02-0919-2</v>
      </c>
      <c r="G463" s="3">
        <v>400</v>
      </c>
      <c r="H463" t="str">
        <f>"02-0919-2"</f>
        <v>02-0919-2</v>
      </c>
    </row>
    <row r="464" spans="1:8" x14ac:dyDescent="0.25">
      <c r="A464" t="s">
        <v>105</v>
      </c>
      <c r="B464">
        <v>5320</v>
      </c>
      <c r="C464" s="3">
        <v>3775</v>
      </c>
      <c r="D464" s="4">
        <v>44495</v>
      </c>
      <c r="E464" t="str">
        <f>"202110146456"</f>
        <v>202110146456</v>
      </c>
      <c r="F464" t="str">
        <f>"AC-2020-1019W AC-2021-0227"</f>
        <v>AC-2020-1019W AC-2021-0227</v>
      </c>
      <c r="G464" s="3">
        <v>375</v>
      </c>
      <c r="H464" t="str">
        <f>"AC-2020-1019W AC-2021-0227"</f>
        <v>AC-2020-1019W AC-2021-0227</v>
      </c>
    </row>
    <row r="465" spans="1:8" x14ac:dyDescent="0.25">
      <c r="E465" t="str">
        <f>"202110146458"</f>
        <v>202110146458</v>
      </c>
      <c r="F465" t="str">
        <f>"4080521-1"</f>
        <v>4080521-1</v>
      </c>
      <c r="G465" s="3">
        <v>400</v>
      </c>
      <c r="H465" t="str">
        <f>"4080521-1"</f>
        <v>4080521-1</v>
      </c>
    </row>
    <row r="466" spans="1:8" x14ac:dyDescent="0.25">
      <c r="E466" t="str">
        <f>"202110146459"</f>
        <v>202110146459</v>
      </c>
      <c r="F466" t="str">
        <f>"17445/17446"</f>
        <v>17445/17446</v>
      </c>
      <c r="G466" s="3">
        <v>2000</v>
      </c>
      <c r="H466" t="str">
        <f>"17445/17446"</f>
        <v>17445/17446</v>
      </c>
    </row>
    <row r="467" spans="1:8" x14ac:dyDescent="0.25">
      <c r="E467" t="str">
        <f>"202110146460"</f>
        <v>202110146460</v>
      </c>
      <c r="F467" t="str">
        <f>"AC-2020-1019W/AC-2021-0227"</f>
        <v>AC-2020-1019W/AC-2021-0227</v>
      </c>
      <c r="G467" s="3">
        <v>375</v>
      </c>
      <c r="H467" t="str">
        <f>"AC-2020-1019W/AC-2021-0227"</f>
        <v>AC-2020-1019W/AC-2021-0227</v>
      </c>
    </row>
    <row r="468" spans="1:8" x14ac:dyDescent="0.25">
      <c r="E468" t="str">
        <f>"202110156563"</f>
        <v>202110156563</v>
      </c>
      <c r="F468" t="str">
        <f>"57174"</f>
        <v>57174</v>
      </c>
      <c r="G468" s="3">
        <v>250</v>
      </c>
      <c r="H468" t="str">
        <f>"57174"</f>
        <v>57174</v>
      </c>
    </row>
    <row r="469" spans="1:8" x14ac:dyDescent="0.25">
      <c r="E469" t="str">
        <f>"202110186577"</f>
        <v>202110186577</v>
      </c>
      <c r="F469" t="str">
        <f>"408219-4 408219-6"</f>
        <v>408219-4 408219-6</v>
      </c>
      <c r="G469" s="3">
        <v>375</v>
      </c>
      <c r="H469" t="str">
        <f>"408219-4 408219-6"</f>
        <v>408219-4 408219-6</v>
      </c>
    </row>
    <row r="470" spans="1:8" x14ac:dyDescent="0.25">
      <c r="A470" t="s">
        <v>106</v>
      </c>
      <c r="B470">
        <v>137240</v>
      </c>
      <c r="C470" s="3">
        <v>2000</v>
      </c>
      <c r="D470" s="4">
        <v>44481</v>
      </c>
      <c r="E470" t="str">
        <f>"034"</f>
        <v>034</v>
      </c>
      <c r="F470" t="str">
        <f>"HAULING/PCT#3"</f>
        <v>HAULING/PCT#3</v>
      </c>
      <c r="G470" s="3">
        <v>2000</v>
      </c>
      <c r="H470" t="str">
        <f>"HAULING/PCT#3"</f>
        <v>HAULING/PCT#3</v>
      </c>
    </row>
    <row r="471" spans="1:8" x14ac:dyDescent="0.25">
      <c r="A471" t="s">
        <v>106</v>
      </c>
      <c r="B471">
        <v>137473</v>
      </c>
      <c r="C471" s="3">
        <v>3750</v>
      </c>
      <c r="D471" s="4">
        <v>44494</v>
      </c>
      <c r="E471" t="str">
        <f>"035"</f>
        <v>035</v>
      </c>
      <c r="F471" t="str">
        <f>"3 LOADS@$250/PCT#3"</f>
        <v>3 LOADS@$250/PCT#3</v>
      </c>
      <c r="G471" s="3">
        <v>750</v>
      </c>
      <c r="H471" t="str">
        <f>"3 LOADS@$250/PCT#3"</f>
        <v>3 LOADS@$250/PCT#3</v>
      </c>
    </row>
    <row r="472" spans="1:8" x14ac:dyDescent="0.25">
      <c r="E472" t="str">
        <f>"035  10/01"</f>
        <v>035  10/01</v>
      </c>
      <c r="F472" t="str">
        <f>"12 LOADS@$250/PCT#3"</f>
        <v>12 LOADS@$250/PCT#3</v>
      </c>
      <c r="G472" s="3">
        <v>3000</v>
      </c>
      <c r="H472" t="str">
        <f>"12 LOADS@$250/PCT#3"</f>
        <v>12 LOADS@$250/PCT#3</v>
      </c>
    </row>
    <row r="473" spans="1:8" x14ac:dyDescent="0.25">
      <c r="A473" t="s">
        <v>107</v>
      </c>
      <c r="B473">
        <v>5218</v>
      </c>
      <c r="C473" s="3">
        <v>984.56</v>
      </c>
      <c r="D473" s="4">
        <v>44482</v>
      </c>
      <c r="E473" t="str">
        <f>"6263635696"</f>
        <v>6263635696</v>
      </c>
      <c r="F473" t="str">
        <f>"INV 6263635696"</f>
        <v>INV 6263635696</v>
      </c>
      <c r="G473" s="3">
        <v>984.56</v>
      </c>
      <c r="H473" t="str">
        <f>"INV 6263635696"</f>
        <v>INV 6263635696</v>
      </c>
    </row>
    <row r="474" spans="1:8" x14ac:dyDescent="0.25">
      <c r="A474" t="s">
        <v>108</v>
      </c>
      <c r="B474">
        <v>137474</v>
      </c>
      <c r="C474" s="3">
        <v>353.11</v>
      </c>
      <c r="D474" s="4">
        <v>44494</v>
      </c>
      <c r="E474" t="str">
        <f>"6000636824"</f>
        <v>6000636824</v>
      </c>
      <c r="F474" t="str">
        <f>"ACCT#3422853/ANIMAL CONTROL"</f>
        <v>ACCT#3422853/ANIMAL CONTROL</v>
      </c>
      <c r="G474" s="3">
        <v>353.11</v>
      </c>
      <c r="H474" t="str">
        <f>"ACCT#3422853/ANIMAL CONTROL"</f>
        <v>ACCT#3422853/ANIMAL CONTROL</v>
      </c>
    </row>
    <row r="475" spans="1:8" x14ac:dyDescent="0.25">
      <c r="A475" t="s">
        <v>109</v>
      </c>
      <c r="B475">
        <v>137241</v>
      </c>
      <c r="C475" s="3">
        <v>4183.3</v>
      </c>
      <c r="D475" s="4">
        <v>44481</v>
      </c>
      <c r="E475" t="str">
        <f>"CD2008315"</f>
        <v>CD2008315</v>
      </c>
      <c r="F475" t="str">
        <f>"CUST#30344/ELECTIONS"</f>
        <v>CUST#30344/ELECTIONS</v>
      </c>
      <c r="G475" s="3">
        <v>2483.3000000000002</v>
      </c>
      <c r="H475" t="str">
        <f>"CUST#30344/ELECTIONS"</f>
        <v>CUST#30344/ELECTIONS</v>
      </c>
    </row>
    <row r="476" spans="1:8" x14ac:dyDescent="0.25">
      <c r="E476" t="str">
        <f>"CD2008446"</f>
        <v>CD2008446</v>
      </c>
      <c r="F476" t="str">
        <f>"CUST#30344/ELECTIONS"</f>
        <v>CUST#30344/ELECTIONS</v>
      </c>
      <c r="G476" s="3">
        <v>1700</v>
      </c>
      <c r="H476" t="str">
        <f>"CUST#30344/ELECTIONS"</f>
        <v>CUST#30344/ELECTIONS</v>
      </c>
    </row>
    <row r="477" spans="1:8" x14ac:dyDescent="0.25">
      <c r="A477" t="s">
        <v>110</v>
      </c>
      <c r="B477">
        <v>137475</v>
      </c>
      <c r="C477" s="3">
        <v>7000</v>
      </c>
      <c r="D477" s="4">
        <v>44494</v>
      </c>
      <c r="E477" t="str">
        <f>"202110156538"</f>
        <v>202110156538</v>
      </c>
      <c r="F477" t="str">
        <f>"FY 21-22"</f>
        <v>FY 21-22</v>
      </c>
      <c r="G477" s="3">
        <v>7000</v>
      </c>
      <c r="H477" t="str">
        <f>"FY 21-22"</f>
        <v>FY 21-22</v>
      </c>
    </row>
    <row r="478" spans="1:8" x14ac:dyDescent="0.25">
      <c r="A478" t="s">
        <v>111</v>
      </c>
      <c r="B478">
        <v>5217</v>
      </c>
      <c r="C478" s="3">
        <v>1595</v>
      </c>
      <c r="D478" s="4">
        <v>44482</v>
      </c>
      <c r="E478" t="str">
        <f>"202110076280"</f>
        <v>202110076280</v>
      </c>
      <c r="F478" t="str">
        <f>"Elguin Courier"</f>
        <v>Elguin Courier</v>
      </c>
      <c r="G478" s="3">
        <v>190</v>
      </c>
      <c r="H478" t="str">
        <f>"21-28005"</f>
        <v>21-28005</v>
      </c>
    </row>
    <row r="479" spans="1:8" x14ac:dyDescent="0.25">
      <c r="E479" t="str">
        <f>""</f>
        <v/>
      </c>
      <c r="F479" t="str">
        <f>""</f>
        <v/>
      </c>
      <c r="G479" s="3">
        <v>320</v>
      </c>
      <c r="H479" t="str">
        <f>"21-28079"</f>
        <v>21-28079</v>
      </c>
    </row>
    <row r="480" spans="1:8" x14ac:dyDescent="0.25">
      <c r="E480" t="str">
        <f>""</f>
        <v/>
      </c>
      <c r="F480" t="str">
        <f>""</f>
        <v/>
      </c>
      <c r="G480" s="3">
        <v>390</v>
      </c>
      <c r="H480" t="str">
        <f>"21-28082"</f>
        <v>21-28082</v>
      </c>
    </row>
    <row r="481" spans="1:8" x14ac:dyDescent="0.25">
      <c r="E481" t="str">
        <f>""</f>
        <v/>
      </c>
      <c r="F481" t="str">
        <f>""</f>
        <v/>
      </c>
      <c r="G481" s="3">
        <v>350</v>
      </c>
      <c r="H481" t="str">
        <f>"21-28097"</f>
        <v>21-28097</v>
      </c>
    </row>
    <row r="482" spans="1:8" x14ac:dyDescent="0.25">
      <c r="E482" t="str">
        <f>""</f>
        <v/>
      </c>
      <c r="F482" t="str">
        <f>""</f>
        <v/>
      </c>
      <c r="G482" s="3">
        <v>255</v>
      </c>
      <c r="H482" t="str">
        <f>"21-28100"</f>
        <v>21-28100</v>
      </c>
    </row>
    <row r="483" spans="1:8" x14ac:dyDescent="0.25">
      <c r="E483" t="str">
        <f>""</f>
        <v/>
      </c>
      <c r="F483" t="str">
        <f>""</f>
        <v/>
      </c>
      <c r="G483" s="3">
        <v>5</v>
      </c>
      <c r="H483" t="str">
        <f>"Affidavit 21-28100"</f>
        <v>Affidavit 21-28100</v>
      </c>
    </row>
    <row r="484" spans="1:8" x14ac:dyDescent="0.25">
      <c r="E484" t="str">
        <f>""</f>
        <v/>
      </c>
      <c r="F484" t="str">
        <f>""</f>
        <v/>
      </c>
      <c r="G484" s="3">
        <v>80</v>
      </c>
      <c r="H484" t="str">
        <f>"21-28175"</f>
        <v>21-28175</v>
      </c>
    </row>
    <row r="485" spans="1:8" x14ac:dyDescent="0.25">
      <c r="E485" t="str">
        <f>""</f>
        <v/>
      </c>
      <c r="F485" t="str">
        <f>""</f>
        <v/>
      </c>
      <c r="G485" s="3">
        <v>5</v>
      </c>
      <c r="H485" t="str">
        <f>"Affidavit 21-28175"</f>
        <v>Affidavit 21-28175</v>
      </c>
    </row>
    <row r="486" spans="1:8" x14ac:dyDescent="0.25">
      <c r="A486" t="s">
        <v>111</v>
      </c>
      <c r="B486">
        <v>137476</v>
      </c>
      <c r="C486" s="3">
        <v>550</v>
      </c>
      <c r="D486" s="4">
        <v>44494</v>
      </c>
      <c r="E486" t="str">
        <f>"202110196638"</f>
        <v>202110196638</v>
      </c>
      <c r="F486" t="str">
        <f>"Notice"</f>
        <v>Notice</v>
      </c>
      <c r="G486" s="3">
        <v>250</v>
      </c>
      <c r="H486" t="str">
        <f>"Notices"</f>
        <v>Notices</v>
      </c>
    </row>
    <row r="487" spans="1:8" x14ac:dyDescent="0.25">
      <c r="E487" t="str">
        <f>"52421-29787/29788"</f>
        <v>52421-29787/29788</v>
      </c>
      <c r="F487" t="str">
        <f>"INV 52421-29787  52421-29"</f>
        <v>INV 52421-29787  52421-29</v>
      </c>
      <c r="G487" s="3">
        <v>150</v>
      </c>
      <c r="H487" t="str">
        <f>"INV 52421-29787"</f>
        <v>INV 52421-29787</v>
      </c>
    </row>
    <row r="488" spans="1:8" x14ac:dyDescent="0.25">
      <c r="E488" t="str">
        <f>""</f>
        <v/>
      </c>
      <c r="F488" t="str">
        <f>""</f>
        <v/>
      </c>
      <c r="G488" s="3">
        <v>150</v>
      </c>
      <c r="H488" t="str">
        <f>"INV 52421-29788"</f>
        <v>INV 52421-29788</v>
      </c>
    </row>
    <row r="489" spans="1:8" x14ac:dyDescent="0.25">
      <c r="A489" t="s">
        <v>112</v>
      </c>
      <c r="B489">
        <v>137242</v>
      </c>
      <c r="C489" s="3">
        <v>594.04</v>
      </c>
      <c r="D489" s="4">
        <v>44481</v>
      </c>
      <c r="E489" t="str">
        <f>"145-47932-02"</f>
        <v>145-47932-02</v>
      </c>
      <c r="F489" t="str">
        <f>"INV 145-47932-02"</f>
        <v>INV 145-47932-02</v>
      </c>
      <c r="G489" s="3">
        <v>186.52</v>
      </c>
      <c r="H489" t="str">
        <f>"INV 145-47932-02"</f>
        <v>INV 145-47932-02</v>
      </c>
    </row>
    <row r="490" spans="1:8" x14ac:dyDescent="0.25">
      <c r="E490" t="str">
        <f>"145-49498-01"</f>
        <v>145-49498-01</v>
      </c>
      <c r="F490" t="str">
        <f>"INV 145-49498-01"</f>
        <v>INV 145-49498-01</v>
      </c>
      <c r="G490" s="3">
        <v>407.52</v>
      </c>
      <c r="H490" t="str">
        <f>"INV 145-49498-01"</f>
        <v>INV 145-49498-01</v>
      </c>
    </row>
    <row r="491" spans="1:8" x14ac:dyDescent="0.25">
      <c r="A491" t="s">
        <v>112</v>
      </c>
      <c r="B491">
        <v>137477</v>
      </c>
      <c r="C491" s="3">
        <v>858.92</v>
      </c>
      <c r="D491" s="4">
        <v>44494</v>
      </c>
      <c r="E491" t="str">
        <f>"145-54967-01"</f>
        <v>145-54967-01</v>
      </c>
      <c r="F491" t="str">
        <f>"INV 145-54967-01"</f>
        <v>INV 145-54967-01</v>
      </c>
      <c r="G491" s="3">
        <v>423.36</v>
      </c>
      <c r="H491" t="str">
        <f>"INV 145-54967-01"</f>
        <v>INV 145-54967-01</v>
      </c>
    </row>
    <row r="492" spans="1:8" x14ac:dyDescent="0.25">
      <c r="E492" t="str">
        <f>"145-55478-01"</f>
        <v>145-55478-01</v>
      </c>
      <c r="F492" t="str">
        <f>"CUST#0888336/PCT 2 CONDUIT"</f>
        <v>CUST#0888336/PCT 2 CONDUIT</v>
      </c>
      <c r="G492" s="3">
        <v>432.54</v>
      </c>
      <c r="H492" t="str">
        <f>"CUST#0888336/PCT 2 CONDUIT"</f>
        <v>CUST#0888336/PCT 2 CONDUIT</v>
      </c>
    </row>
    <row r="493" spans="1:8" x14ac:dyDescent="0.25">
      <c r="E493" t="str">
        <f>"145-55674-01"</f>
        <v>145-55674-01</v>
      </c>
      <c r="F493" t="str">
        <f>"CUST#0888336/911 CALL CENTER"</f>
        <v>CUST#0888336/911 CALL CENTER</v>
      </c>
      <c r="G493" s="3">
        <v>3.02</v>
      </c>
      <c r="H493" t="str">
        <f>"CUST#0888336/911 CALL CENTER"</f>
        <v>CUST#0888336/911 CALL CENTER</v>
      </c>
    </row>
    <row r="494" spans="1:8" x14ac:dyDescent="0.25">
      <c r="A494" t="s">
        <v>113</v>
      </c>
      <c r="B494">
        <v>137243</v>
      </c>
      <c r="C494" s="3">
        <v>4340.1000000000004</v>
      </c>
      <c r="D494" s="4">
        <v>44481</v>
      </c>
      <c r="E494" t="str">
        <f>"9402564285"</f>
        <v>9402564285</v>
      </c>
      <c r="F494" t="str">
        <f>"ACCT#912922/PCT#1"</f>
        <v>ACCT#912922/PCT#1</v>
      </c>
      <c r="G494" s="3">
        <v>4340.1000000000004</v>
      </c>
      <c r="H494" t="str">
        <f>"ACCT#912922/PCT#1"</f>
        <v>ACCT#912922/PCT#1</v>
      </c>
    </row>
    <row r="495" spans="1:8" x14ac:dyDescent="0.25">
      <c r="A495" t="s">
        <v>113</v>
      </c>
      <c r="B495">
        <v>137478</v>
      </c>
      <c r="C495" s="3">
        <v>20968.3</v>
      </c>
      <c r="D495" s="4">
        <v>44494</v>
      </c>
      <c r="E495" t="str">
        <f>"9402576045"</f>
        <v>9402576045</v>
      </c>
      <c r="F495" t="str">
        <f>"ACCT#912922/BOL#29813/PCT#1"</f>
        <v>ACCT#912922/BOL#29813/PCT#1</v>
      </c>
      <c r="G495" s="3">
        <v>-5303.5</v>
      </c>
      <c r="H495" t="str">
        <f>"BOL#29813/HFRS-2"</f>
        <v>BOL#29813/HFRS-2</v>
      </c>
    </row>
    <row r="496" spans="1:8" x14ac:dyDescent="0.25">
      <c r="E496" t="str">
        <f>"9402528109"</f>
        <v>9402528109</v>
      </c>
      <c r="F496" t="str">
        <f>"ACCT#912897/LAYOVER/PCT#3"</f>
        <v>ACCT#912897/LAYOVER/PCT#3</v>
      </c>
      <c r="G496" s="3">
        <v>800</v>
      </c>
      <c r="H496" t="str">
        <f>"LAYOVER/PCT#3"</f>
        <v>LAYOVER/PCT#3</v>
      </c>
    </row>
    <row r="497" spans="1:8" x14ac:dyDescent="0.25">
      <c r="E497" t="str">
        <f>"9402575127"</f>
        <v>9402575127</v>
      </c>
      <c r="F497" t="str">
        <f>"ACCT#912922/BOL#29813/PCT#1"</f>
        <v>ACCT#912922/BOL#29813/PCT#1</v>
      </c>
      <c r="G497" s="3">
        <v>13157.76</v>
      </c>
      <c r="H497" t="str">
        <f>"ACCT#912922/BOL#29813/PCT#1"</f>
        <v>ACCT#912922/BOL#29813/PCT#1</v>
      </c>
    </row>
    <row r="498" spans="1:8" x14ac:dyDescent="0.25">
      <c r="E498" t="str">
        <f>"9402578984"</f>
        <v>9402578984</v>
      </c>
      <c r="F498" t="str">
        <f>"ACCT#912922/BOL#29859/PCT#1"</f>
        <v>ACCT#912922/BOL#29859/PCT#1</v>
      </c>
      <c r="G498" s="3">
        <v>12314.04</v>
      </c>
      <c r="H498" t="str">
        <f>"ACCT#912922/BOL#29859/PCT#1"</f>
        <v>ACCT#912922/BOL#29859/PCT#1</v>
      </c>
    </row>
    <row r="499" spans="1:8" x14ac:dyDescent="0.25">
      <c r="A499" t="s">
        <v>114</v>
      </c>
      <c r="B499">
        <v>137244</v>
      </c>
      <c r="C499" s="3">
        <v>36.4</v>
      </c>
      <c r="D499" s="4">
        <v>44481</v>
      </c>
      <c r="E499" t="str">
        <f>"202110066114"</f>
        <v>202110066114</v>
      </c>
      <c r="F499" t="str">
        <f>"MILEAGE/ERIN NICKEL"</f>
        <v>MILEAGE/ERIN NICKEL</v>
      </c>
      <c r="G499" s="3">
        <v>36.4</v>
      </c>
      <c r="H499" t="str">
        <f>"MILEAGE/ERIN NICKEL"</f>
        <v>MILEAGE/ERIN NICKEL</v>
      </c>
    </row>
    <row r="500" spans="1:8" x14ac:dyDescent="0.25">
      <c r="A500" t="s">
        <v>115</v>
      </c>
      <c r="B500">
        <v>5234</v>
      </c>
      <c r="C500" s="3">
        <v>163.92</v>
      </c>
      <c r="D500" s="4">
        <v>44482</v>
      </c>
      <c r="E500" t="str">
        <f>"3435645"</f>
        <v>3435645</v>
      </c>
      <c r="F500" t="str">
        <f>"ACCT#00405/PCT#2"</f>
        <v>ACCT#00405/PCT#2</v>
      </c>
      <c r="G500" s="3">
        <v>163.92</v>
      </c>
      <c r="H500" t="str">
        <f>"ACCT#00405/PCT#2"</f>
        <v>ACCT#00405/PCT#2</v>
      </c>
    </row>
    <row r="501" spans="1:8" x14ac:dyDescent="0.25">
      <c r="A501" t="s">
        <v>116</v>
      </c>
      <c r="B501">
        <v>5192</v>
      </c>
      <c r="C501" s="3">
        <v>4149</v>
      </c>
      <c r="D501" s="4">
        <v>44482</v>
      </c>
      <c r="E501" t="str">
        <f>"07911289"</f>
        <v>07911289</v>
      </c>
      <c r="F501" t="str">
        <f>"Ez Task Invoice#07911289"</f>
        <v>Ez Task Invoice#07911289</v>
      </c>
      <c r="G501" s="3">
        <v>4149</v>
      </c>
      <c r="H501" t="str">
        <f>"Ez Task Renewal"</f>
        <v>Ez Task Renewal</v>
      </c>
    </row>
    <row r="502" spans="1:8" x14ac:dyDescent="0.25">
      <c r="A502" t="s">
        <v>117</v>
      </c>
      <c r="B502">
        <v>5219</v>
      </c>
      <c r="C502" s="3">
        <v>8525.6299999999992</v>
      </c>
      <c r="D502" s="4">
        <v>44482</v>
      </c>
      <c r="E502" t="str">
        <f>"202110066115"</f>
        <v>202110066115</v>
      </c>
      <c r="F502" t="str">
        <f>"AUGUST 2021"</f>
        <v>AUGUST 2021</v>
      </c>
      <c r="G502" s="3">
        <v>8525.6299999999992</v>
      </c>
      <c r="H502" t="str">
        <f>"AUGUST 2021"</f>
        <v>AUGUST 2021</v>
      </c>
    </row>
    <row r="503" spans="1:8" x14ac:dyDescent="0.25">
      <c r="A503" t="s">
        <v>118</v>
      </c>
      <c r="B503">
        <v>137245</v>
      </c>
      <c r="C503" s="3">
        <v>28.13</v>
      </c>
      <c r="D503" s="4">
        <v>44481</v>
      </c>
      <c r="E503" t="str">
        <f>"7-509-64796"</f>
        <v>7-509-64796</v>
      </c>
      <c r="F503" t="str">
        <f>"ACCT#1305-8295-8/DISTRICT ATTN"</f>
        <v>ACCT#1305-8295-8/DISTRICT ATTN</v>
      </c>
      <c r="G503" s="3">
        <v>28.13</v>
      </c>
      <c r="H503" t="str">
        <f>"ACCT#1305-8295-8/DISTRICT ATTN"</f>
        <v>ACCT#1305-8295-8/DISTRICT ATTN</v>
      </c>
    </row>
    <row r="504" spans="1:8" x14ac:dyDescent="0.25">
      <c r="A504" t="s">
        <v>118</v>
      </c>
      <c r="B504">
        <v>137479</v>
      </c>
      <c r="C504" s="3">
        <v>12.32</v>
      </c>
      <c r="D504" s="4">
        <v>44494</v>
      </c>
      <c r="E504" t="str">
        <f>"7-525-36994"</f>
        <v>7-525-36994</v>
      </c>
      <c r="F504" t="str">
        <f>"INV 7-525-36994"</f>
        <v>INV 7-525-36994</v>
      </c>
      <c r="G504" s="3">
        <v>12.32</v>
      </c>
      <c r="H504" t="str">
        <f>"INV 7-525-36994"</f>
        <v>INV 7-525-36994</v>
      </c>
    </row>
    <row r="505" spans="1:8" x14ac:dyDescent="0.25">
      <c r="A505" t="s">
        <v>119</v>
      </c>
      <c r="B505">
        <v>137480</v>
      </c>
      <c r="C505" s="3">
        <v>139.47</v>
      </c>
      <c r="D505" s="4">
        <v>44494</v>
      </c>
      <c r="E505" t="str">
        <f>"9844915"</f>
        <v>9844915</v>
      </c>
      <c r="F505" t="str">
        <f>"INV 9844915"</f>
        <v>INV 9844915</v>
      </c>
      <c r="G505" s="3">
        <v>139.47</v>
      </c>
      <c r="H505" t="str">
        <f>"INV 9844915"</f>
        <v>INV 9844915</v>
      </c>
    </row>
    <row r="506" spans="1:8" x14ac:dyDescent="0.25">
      <c r="A506" t="s">
        <v>120</v>
      </c>
      <c r="B506">
        <v>137481</v>
      </c>
      <c r="C506" s="3">
        <v>600</v>
      </c>
      <c r="D506" s="4">
        <v>44494</v>
      </c>
      <c r="E506" t="str">
        <f>"100745342"</f>
        <v>100745342</v>
      </c>
      <c r="F506" t="str">
        <f>"CUST#4704680/ANNUAL INSPECT"</f>
        <v>CUST#4704680/ANNUAL INSPECT</v>
      </c>
      <c r="G506" s="3">
        <v>600</v>
      </c>
      <c r="H506" t="str">
        <f>"CUST#4704680/ANNUAL INSPECT"</f>
        <v>CUST#4704680/ANNUAL INSPECT</v>
      </c>
    </row>
    <row r="507" spans="1:8" x14ac:dyDescent="0.25">
      <c r="A507" t="s">
        <v>121</v>
      </c>
      <c r="B507">
        <v>137246</v>
      </c>
      <c r="C507" s="3">
        <v>10</v>
      </c>
      <c r="D507" s="4">
        <v>44481</v>
      </c>
      <c r="E507" t="s">
        <v>122</v>
      </c>
      <c r="F507" s="3" t="str">
        <f>"RESTITUTION - RAMON SALINAS"</f>
        <v>RESTITUTION - RAMON SALINAS</v>
      </c>
      <c r="G507" s="3">
        <v>10</v>
      </c>
      <c r="H507" s="3" t="str">
        <f>"RESTITUTION - RAMON SALINAS"</f>
        <v>RESTITUTION - RAMON SALINAS</v>
      </c>
    </row>
    <row r="508" spans="1:8" x14ac:dyDescent="0.25">
      <c r="A508" t="s">
        <v>123</v>
      </c>
      <c r="B508">
        <v>137247</v>
      </c>
      <c r="C508" s="3">
        <v>500.29</v>
      </c>
      <c r="D508" s="4">
        <v>44481</v>
      </c>
      <c r="E508" t="str">
        <f>"82727163"</f>
        <v>82727163</v>
      </c>
      <c r="F508" t="str">
        <f t="shared" ref="F508:F514" si="9">"ACCT#80975-001/PCT#3"</f>
        <v>ACCT#80975-001/PCT#3</v>
      </c>
      <c r="G508" s="3">
        <v>203.53</v>
      </c>
      <c r="H508" t="str">
        <f t="shared" ref="H508:H514" si="10">"ACCT#80975-001/PCT#3"</f>
        <v>ACCT#80975-001/PCT#3</v>
      </c>
    </row>
    <row r="509" spans="1:8" x14ac:dyDescent="0.25">
      <c r="E509" t="str">
        <f>"82785772"</f>
        <v>82785772</v>
      </c>
      <c r="F509" t="str">
        <f t="shared" si="9"/>
        <v>ACCT#80975-001/PCT#3</v>
      </c>
      <c r="G509" s="3">
        <v>296.76</v>
      </c>
      <c r="H509" t="str">
        <f t="shared" si="10"/>
        <v>ACCT#80975-001/PCT#3</v>
      </c>
    </row>
    <row r="510" spans="1:8" x14ac:dyDescent="0.25">
      <c r="A510" t="s">
        <v>123</v>
      </c>
      <c r="B510">
        <v>137482</v>
      </c>
      <c r="C510" s="3">
        <v>2366.12</v>
      </c>
      <c r="D510" s="4">
        <v>44494</v>
      </c>
      <c r="E510" t="str">
        <f>"83295793"</f>
        <v>83295793</v>
      </c>
      <c r="F510" t="str">
        <f t="shared" si="9"/>
        <v>ACCT#80975-001/PCT#3</v>
      </c>
      <c r="G510" s="3">
        <v>61.84</v>
      </c>
      <c r="H510" t="str">
        <f t="shared" si="10"/>
        <v>ACCT#80975-001/PCT#3</v>
      </c>
    </row>
    <row r="511" spans="1:8" x14ac:dyDescent="0.25">
      <c r="E511" t="str">
        <f>"83296566"</f>
        <v>83296566</v>
      </c>
      <c r="F511" t="str">
        <f t="shared" si="9"/>
        <v>ACCT#80975-001/PCT#3</v>
      </c>
      <c r="G511" s="3">
        <v>336.73</v>
      </c>
      <c r="H511" t="str">
        <f t="shared" si="10"/>
        <v>ACCT#80975-001/PCT#3</v>
      </c>
    </row>
    <row r="512" spans="1:8" x14ac:dyDescent="0.25">
      <c r="E512" t="str">
        <f>"83896512"</f>
        <v>83896512</v>
      </c>
      <c r="F512" t="str">
        <f t="shared" si="9"/>
        <v>ACCT#80975-001/PCT#3</v>
      </c>
      <c r="G512" s="3">
        <v>929.13</v>
      </c>
      <c r="H512" t="str">
        <f t="shared" si="10"/>
        <v>ACCT#80975-001/PCT#3</v>
      </c>
    </row>
    <row r="513" spans="1:8" x14ac:dyDescent="0.25">
      <c r="E513" t="str">
        <f>"83896623"</f>
        <v>83896623</v>
      </c>
      <c r="F513" t="str">
        <f t="shared" si="9"/>
        <v>ACCT#80975-001/PCT#3</v>
      </c>
      <c r="G513" s="3">
        <v>806.43</v>
      </c>
      <c r="H513" t="str">
        <f t="shared" si="10"/>
        <v>ACCT#80975-001/PCT#3</v>
      </c>
    </row>
    <row r="514" spans="1:8" x14ac:dyDescent="0.25">
      <c r="E514" t="str">
        <f>"84170555"</f>
        <v>84170555</v>
      </c>
      <c r="F514" t="str">
        <f t="shared" si="9"/>
        <v>ACCT#80975-001/PCT#3</v>
      </c>
      <c r="G514" s="3">
        <v>231.99</v>
      </c>
      <c r="H514" t="str">
        <f t="shared" si="10"/>
        <v>ACCT#80975-001/PCT#3</v>
      </c>
    </row>
    <row r="515" spans="1:8" x14ac:dyDescent="0.25">
      <c r="A515" t="s">
        <v>124</v>
      </c>
      <c r="B515">
        <v>137248</v>
      </c>
      <c r="C515" s="3">
        <v>1065</v>
      </c>
      <c r="D515" s="4">
        <v>44481</v>
      </c>
      <c r="E515" t="str">
        <f>"FM12291-I-0004"</f>
        <v>FM12291-I-0004</v>
      </c>
      <c r="F515" t="str">
        <f>"COMMUNAL CREMATION/ANIMAL SVCS"</f>
        <v>COMMUNAL CREMATION/ANIMAL SVCS</v>
      </c>
      <c r="G515" s="3">
        <v>1065</v>
      </c>
      <c r="H515" t="str">
        <f>"COMMUNAL CREMATION/ANIMAL SVCS"</f>
        <v>COMMUNAL CREMATION/ANIMAL SVCS</v>
      </c>
    </row>
    <row r="516" spans="1:8" x14ac:dyDescent="0.25">
      <c r="A516" t="s">
        <v>125</v>
      </c>
      <c r="B516">
        <v>5220</v>
      </c>
      <c r="C516" s="3">
        <v>1050</v>
      </c>
      <c r="D516" s="4">
        <v>44482</v>
      </c>
      <c r="E516" t="str">
        <f>"202109305934"</f>
        <v>202109305934</v>
      </c>
      <c r="F516" t="str">
        <f>"CH-20150801"</f>
        <v>CH-20150801</v>
      </c>
      <c r="G516" s="3">
        <v>250</v>
      </c>
      <c r="H516" t="str">
        <f>"CH-20150801"</f>
        <v>CH-20150801</v>
      </c>
    </row>
    <row r="517" spans="1:8" x14ac:dyDescent="0.25">
      <c r="E517" t="str">
        <f>"202110056030"</f>
        <v>202110056030</v>
      </c>
      <c r="F517" t="str">
        <f>"19-S-0059"</f>
        <v>19-S-0059</v>
      </c>
      <c r="G517" s="3">
        <v>800</v>
      </c>
      <c r="H517" t="str">
        <f>"19-S-0059"</f>
        <v>19-S-0059</v>
      </c>
    </row>
    <row r="518" spans="1:8" x14ac:dyDescent="0.25">
      <c r="A518" t="s">
        <v>125</v>
      </c>
      <c r="B518">
        <v>5298</v>
      </c>
      <c r="C518" s="3">
        <v>250</v>
      </c>
      <c r="D518" s="4">
        <v>44495</v>
      </c>
      <c r="E518" t="str">
        <f>"202110156566"</f>
        <v>202110156566</v>
      </c>
      <c r="F518" t="str">
        <f>"02-0725-5"</f>
        <v>02-0725-5</v>
      </c>
      <c r="G518" s="3">
        <v>250</v>
      </c>
      <c r="H518" t="str">
        <f>"02-0725-5"</f>
        <v>02-0725-5</v>
      </c>
    </row>
    <row r="519" spans="1:8" x14ac:dyDescent="0.25">
      <c r="A519" t="s">
        <v>126</v>
      </c>
      <c r="B519">
        <v>5211</v>
      </c>
      <c r="C519" s="3">
        <v>1277.31</v>
      </c>
      <c r="D519" s="4">
        <v>44482</v>
      </c>
      <c r="E519" t="str">
        <f>"76101AP"</f>
        <v>76101AP</v>
      </c>
      <c r="F519" t="str">
        <f>"ACCT#3324/PCT#3"</f>
        <v>ACCT#3324/PCT#3</v>
      </c>
      <c r="G519" s="3">
        <v>949.81</v>
      </c>
      <c r="H519" t="str">
        <f>"ACCT#3324/PCT#3"</f>
        <v>ACCT#3324/PCT#3</v>
      </c>
    </row>
    <row r="520" spans="1:8" x14ac:dyDescent="0.25">
      <c r="E520" t="str">
        <f>"76882AP"</f>
        <v>76882AP</v>
      </c>
      <c r="F520" t="str">
        <f>"ACCT#3324/PCT#3"</f>
        <v>ACCT#3324/PCT#3</v>
      </c>
      <c r="G520" s="3">
        <v>131.41</v>
      </c>
      <c r="H520" t="str">
        <f>"ACCT#3324/PCT#3"</f>
        <v>ACCT#3324/PCT#3</v>
      </c>
    </row>
    <row r="521" spans="1:8" x14ac:dyDescent="0.25">
      <c r="E521" t="str">
        <f>"77043AP"</f>
        <v>77043AP</v>
      </c>
      <c r="F521" t="str">
        <f>"ACCT#3324/PCT#3"</f>
        <v>ACCT#3324/PCT#3</v>
      </c>
      <c r="G521" s="3">
        <v>196.09</v>
      </c>
      <c r="H521" t="str">
        <f>"ACCT#3324/PCT#3"</f>
        <v>ACCT#3324/PCT#3</v>
      </c>
    </row>
    <row r="522" spans="1:8" x14ac:dyDescent="0.25">
      <c r="A522" t="s">
        <v>126</v>
      </c>
      <c r="B522">
        <v>5293</v>
      </c>
      <c r="C522" s="3">
        <v>84.06</v>
      </c>
      <c r="D522" s="4">
        <v>44495</v>
      </c>
      <c r="E522" t="str">
        <f>"78030AP"</f>
        <v>78030AP</v>
      </c>
      <c r="F522" t="str">
        <f>"ACCT#3324/VALVE/PCT#3"</f>
        <v>ACCT#3324/VALVE/PCT#3</v>
      </c>
      <c r="G522" s="3">
        <v>84.06</v>
      </c>
      <c r="H522" t="str">
        <f>"ACCT#3324/VALVE/PCT#3"</f>
        <v>ACCT#3324/VALVE/PCT#3</v>
      </c>
    </row>
    <row r="523" spans="1:8" x14ac:dyDescent="0.25">
      <c r="A523" t="s">
        <v>127</v>
      </c>
      <c r="B523">
        <v>5221</v>
      </c>
      <c r="C523" s="3">
        <v>887.66</v>
      </c>
      <c r="D523" s="4">
        <v>44482</v>
      </c>
      <c r="E523" t="str">
        <f>"115301"</f>
        <v>115301</v>
      </c>
      <c r="F523" t="str">
        <f>"FERAL HOG/AG EXTEN."</f>
        <v>FERAL HOG/AG EXTEN.</v>
      </c>
      <c r="G523" s="3">
        <v>93.72</v>
      </c>
      <c r="H523" t="str">
        <f>"FERAL HOG/AG EXTEN."</f>
        <v>FERAL HOG/AG EXTEN.</v>
      </c>
    </row>
    <row r="524" spans="1:8" x14ac:dyDescent="0.25">
      <c r="E524" t="str">
        <f>"115315"</f>
        <v>115315</v>
      </c>
      <c r="F524" t="str">
        <f>"NOTICE OF VIOLATION-DEV SVCS"</f>
        <v>NOTICE OF VIOLATION-DEV SVCS</v>
      </c>
      <c r="G524" s="3">
        <v>205.69</v>
      </c>
      <c r="H524" t="str">
        <f>"NOTICE OF VIOLATION-DEV SVCS"</f>
        <v>NOTICE OF VIOLATION-DEV SVCS</v>
      </c>
    </row>
    <row r="525" spans="1:8" x14ac:dyDescent="0.25">
      <c r="E525" t="str">
        <f>"115349"</f>
        <v>115349</v>
      </c>
      <c r="F525" t="str">
        <f>"SUPPLIES/ENVIROMENTAL"</f>
        <v>SUPPLIES/ENVIROMENTAL</v>
      </c>
      <c r="G525" s="3">
        <v>459.78</v>
      </c>
      <c r="H525" t="str">
        <f>"SUPPLIES/ENVIROMENTAL"</f>
        <v>SUPPLIES/ENVIROMENTAL</v>
      </c>
    </row>
    <row r="526" spans="1:8" x14ac:dyDescent="0.25">
      <c r="E526" t="str">
        <f>"GC115265"</f>
        <v>GC115265</v>
      </c>
      <c r="F526" t="str">
        <f>"EUGENE W BRIGGS JR"</f>
        <v>EUGENE W BRIGGS JR</v>
      </c>
      <c r="G526" s="3">
        <v>128.47</v>
      </c>
      <c r="H526" t="str">
        <f>"INV GC115265"</f>
        <v>INV GC115265</v>
      </c>
    </row>
    <row r="527" spans="1:8" x14ac:dyDescent="0.25">
      <c r="A527" t="s">
        <v>127</v>
      </c>
      <c r="B527">
        <v>5299</v>
      </c>
      <c r="C527" s="3">
        <v>218.48</v>
      </c>
      <c r="D527" s="4">
        <v>44495</v>
      </c>
      <c r="E527" t="str">
        <f>"115398"</f>
        <v>115398</v>
      </c>
      <c r="F527" t="str">
        <f>"REGULAR ENVELOPES/DIST CLERK"</f>
        <v>REGULAR ENVELOPES/DIST CLERK</v>
      </c>
      <c r="G527" s="3">
        <v>218.48</v>
      </c>
      <c r="H527" t="str">
        <f>"REGULAR ENVELOPES/DIST CLERK"</f>
        <v>REGULAR ENVELOPES/DIST CLERK</v>
      </c>
    </row>
    <row r="528" spans="1:8" x14ac:dyDescent="0.25">
      <c r="A528" t="s">
        <v>128</v>
      </c>
      <c r="B528">
        <v>137249</v>
      </c>
      <c r="C528" s="3">
        <v>257.77999999999997</v>
      </c>
      <c r="D528" s="4">
        <v>44481</v>
      </c>
      <c r="E528" t="str">
        <f>"019202312"</f>
        <v>019202312</v>
      </c>
      <c r="F528" t="str">
        <f>"GALLS PARENT HOLDINGS LLC"</f>
        <v>GALLS PARENT HOLDINGS LLC</v>
      </c>
      <c r="G528" s="3">
        <v>214.79</v>
      </c>
      <c r="H528" t="str">
        <f>"INV 019202312"</f>
        <v>INV 019202312</v>
      </c>
    </row>
    <row r="529" spans="1:8" x14ac:dyDescent="0.25">
      <c r="E529" t="str">
        <f>"019397722"</f>
        <v>019397722</v>
      </c>
      <c r="F529" t="str">
        <f>"ACCT#1002239783/VEST CARRIER"</f>
        <v>ACCT#1002239783/VEST CARRIER</v>
      </c>
      <c r="G529" s="3">
        <v>42.99</v>
      </c>
      <c r="H529" t="str">
        <f>"ACCT#1002239783/VEST CARRIER"</f>
        <v>ACCT#1002239783/VEST CARRIER</v>
      </c>
    </row>
    <row r="530" spans="1:8" x14ac:dyDescent="0.25">
      <c r="A530" t="s">
        <v>128</v>
      </c>
      <c r="B530">
        <v>137483</v>
      </c>
      <c r="C530" s="3">
        <v>235.26</v>
      </c>
      <c r="D530" s="4">
        <v>44494</v>
      </c>
      <c r="E530" t="str">
        <f>"019430732"</f>
        <v>019430732</v>
      </c>
      <c r="F530" t="str">
        <f>"INV 019430732"</f>
        <v>INV 019430732</v>
      </c>
      <c r="G530" s="3">
        <v>115.47</v>
      </c>
      <c r="H530" t="str">
        <f>"INV 019430732"</f>
        <v>INV 019430732</v>
      </c>
    </row>
    <row r="531" spans="1:8" x14ac:dyDescent="0.25">
      <c r="E531" t="str">
        <f>"26058"</f>
        <v>26058</v>
      </c>
      <c r="F531" t="str">
        <f>"GALLS UNIFORM"</f>
        <v>GALLS UNIFORM</v>
      </c>
      <c r="G531" s="3">
        <v>102.99</v>
      </c>
      <c r="H531" t="str">
        <f>"REV RAIN JACKET"</f>
        <v>REV RAIN JACKET</v>
      </c>
    </row>
    <row r="532" spans="1:8" x14ac:dyDescent="0.25">
      <c r="E532" t="str">
        <f>""</f>
        <v/>
      </c>
      <c r="F532" t="str">
        <f>""</f>
        <v/>
      </c>
      <c r="G532" s="3">
        <v>16.8</v>
      </c>
      <c r="H532" t="str">
        <f>"TACTICAL BELT"</f>
        <v>TACTICAL BELT</v>
      </c>
    </row>
    <row r="533" spans="1:8" x14ac:dyDescent="0.25">
      <c r="A533" t="s">
        <v>129</v>
      </c>
      <c r="B533">
        <v>137250</v>
      </c>
      <c r="C533" s="3">
        <v>524.16</v>
      </c>
      <c r="D533" s="4">
        <v>44481</v>
      </c>
      <c r="E533" t="str">
        <f>"N73818"</f>
        <v>N73818</v>
      </c>
      <c r="F533" t="str">
        <f>"INV N73818"</f>
        <v>INV N73818</v>
      </c>
      <c r="G533" s="3">
        <v>524.16</v>
      </c>
      <c r="H533" t="str">
        <f>"INV N73818"</f>
        <v>INV N73818</v>
      </c>
    </row>
    <row r="534" spans="1:8" x14ac:dyDescent="0.25">
      <c r="A534" t="s">
        <v>130</v>
      </c>
      <c r="B534">
        <v>137484</v>
      </c>
      <c r="C534" s="3">
        <v>2171.29</v>
      </c>
      <c r="D534" s="4">
        <v>44494</v>
      </c>
      <c r="E534" t="str">
        <f>"26301"</f>
        <v>26301</v>
      </c>
      <c r="F534" t="str">
        <f>"GRANGER ORDER"</f>
        <v>GRANGER ORDER</v>
      </c>
      <c r="G534" s="3">
        <v>722.04</v>
      </c>
      <c r="H534" t="str">
        <f>"ITEM#30RF41"</f>
        <v>ITEM#30RF41</v>
      </c>
    </row>
    <row r="535" spans="1:8" x14ac:dyDescent="0.25">
      <c r="E535" t="str">
        <f>"9063098389"</f>
        <v>9063098389</v>
      </c>
      <c r="F535" t="str">
        <f>"INV 9063098389"</f>
        <v>INV 9063098389</v>
      </c>
      <c r="G535" s="3">
        <v>1449.25</v>
      </c>
      <c r="H535" t="str">
        <f>"INV 9063098389"</f>
        <v>INV 9063098389</v>
      </c>
    </row>
    <row r="536" spans="1:8" x14ac:dyDescent="0.25">
      <c r="A536" t="s">
        <v>131</v>
      </c>
      <c r="B536">
        <v>137485</v>
      </c>
      <c r="C536" s="3">
        <v>725.44</v>
      </c>
      <c r="D536" s="4">
        <v>44494</v>
      </c>
      <c r="E536" t="str">
        <f>"2359"</f>
        <v>2359</v>
      </c>
      <c r="F536" t="str">
        <f>"INTERPRETING/MILEAGE"</f>
        <v>INTERPRETING/MILEAGE</v>
      </c>
      <c r="G536" s="3">
        <v>362.72</v>
      </c>
      <c r="H536" t="str">
        <f>"INTERPRETING/MILEAGE"</f>
        <v>INTERPRETING/MILEAGE</v>
      </c>
    </row>
    <row r="537" spans="1:8" x14ac:dyDescent="0.25">
      <c r="E537" t="str">
        <f>"2363"</f>
        <v>2363</v>
      </c>
      <c r="F537" t="str">
        <f>"MILEAGE/INTERPRETING"</f>
        <v>MILEAGE/INTERPRETING</v>
      </c>
      <c r="G537" s="3">
        <v>362.72</v>
      </c>
      <c r="H537" t="str">
        <f>"MILEAGE/INTERPRETING"</f>
        <v>MILEAGE/INTERPRETING</v>
      </c>
    </row>
    <row r="538" spans="1:8" x14ac:dyDescent="0.25">
      <c r="A538" t="s">
        <v>132</v>
      </c>
      <c r="B538">
        <v>5222</v>
      </c>
      <c r="C538" s="3">
        <v>1043.83</v>
      </c>
      <c r="D538" s="4">
        <v>44482</v>
      </c>
      <c r="E538" t="str">
        <f>"0864454"</f>
        <v>0864454</v>
      </c>
      <c r="F538" t="str">
        <f>"INV 0864454"</f>
        <v>INV 0864454</v>
      </c>
      <c r="G538" s="3">
        <v>949.33</v>
      </c>
      <c r="H538" t="str">
        <f>"INV 0864454"</f>
        <v>INV 0864454</v>
      </c>
    </row>
    <row r="539" spans="1:8" x14ac:dyDescent="0.25">
      <c r="E539" t="str">
        <f>"0866000"</f>
        <v>0866000</v>
      </c>
      <c r="F539" t="str">
        <f>"INV 0866000"</f>
        <v>INV 0866000</v>
      </c>
      <c r="G539" s="3">
        <v>94.5</v>
      </c>
      <c r="H539" t="str">
        <f>"INV 0866000"</f>
        <v>INV 0866000</v>
      </c>
    </row>
    <row r="540" spans="1:8" x14ac:dyDescent="0.25">
      <c r="A540" t="s">
        <v>132</v>
      </c>
      <c r="B540">
        <v>5300</v>
      </c>
      <c r="C540" s="3">
        <v>235</v>
      </c>
      <c r="D540" s="4">
        <v>44495</v>
      </c>
      <c r="E540" t="str">
        <f>"0866919"</f>
        <v>0866919</v>
      </c>
      <c r="F540" t="str">
        <f>"INV 0866919"</f>
        <v>INV 0866919</v>
      </c>
      <c r="G540" s="3">
        <v>10</v>
      </c>
      <c r="H540" t="str">
        <f>"INV 0866919"</f>
        <v>INV 0866919</v>
      </c>
    </row>
    <row r="541" spans="1:8" x14ac:dyDescent="0.25">
      <c r="E541" t="str">
        <f>"0867065"</f>
        <v>0867065</v>
      </c>
      <c r="F541" t="str">
        <f>"INV 0867065"</f>
        <v>INV 0867065</v>
      </c>
      <c r="G541" s="3">
        <v>225</v>
      </c>
      <c r="H541" t="str">
        <f>"INV 0867065"</f>
        <v>INV 0867065</v>
      </c>
    </row>
    <row r="542" spans="1:8" x14ac:dyDescent="0.25">
      <c r="A542" t="s">
        <v>133</v>
      </c>
      <c r="B542">
        <v>5235</v>
      </c>
      <c r="C542" s="3">
        <v>6879.37</v>
      </c>
      <c r="D542" s="4">
        <v>44482</v>
      </c>
      <c r="E542" t="str">
        <f>"2053270"</f>
        <v>2053270</v>
      </c>
      <c r="F542" t="str">
        <f>"Inv#2053270"</f>
        <v>Inv#2053270</v>
      </c>
      <c r="G542" s="3">
        <v>523.5</v>
      </c>
      <c r="H542" t="str">
        <f>"GP89480"</f>
        <v>GP89480</v>
      </c>
    </row>
    <row r="543" spans="1:8" x14ac:dyDescent="0.25">
      <c r="E543" t="str">
        <f>""</f>
        <v/>
      </c>
      <c r="F543" t="str">
        <f>""</f>
        <v/>
      </c>
      <c r="G543" s="3">
        <v>524.70000000000005</v>
      </c>
      <c r="H543" t="str">
        <f>"GP89420"</f>
        <v>GP89420</v>
      </c>
    </row>
    <row r="544" spans="1:8" x14ac:dyDescent="0.25">
      <c r="E544" t="str">
        <f>""</f>
        <v/>
      </c>
      <c r="F544" t="str">
        <f>""</f>
        <v/>
      </c>
      <c r="G544" s="3">
        <v>681.9</v>
      </c>
      <c r="H544" t="str">
        <f>"GP19371"</f>
        <v>GP19371</v>
      </c>
    </row>
    <row r="545" spans="5:8" x14ac:dyDescent="0.25">
      <c r="E545" t="str">
        <f>""</f>
        <v/>
      </c>
      <c r="F545" t="str">
        <f>""</f>
        <v/>
      </c>
      <c r="G545" s="3">
        <v>275.52</v>
      </c>
      <c r="H545" t="str">
        <f>"GP42714"</f>
        <v>GP42714</v>
      </c>
    </row>
    <row r="546" spans="5:8" x14ac:dyDescent="0.25">
      <c r="E546" t="str">
        <f>""</f>
        <v/>
      </c>
      <c r="F546" t="str">
        <f>""</f>
        <v/>
      </c>
      <c r="G546" s="3">
        <v>54</v>
      </c>
      <c r="H546" t="str">
        <f>"HS6141"</f>
        <v>HS6141</v>
      </c>
    </row>
    <row r="547" spans="5:8" x14ac:dyDescent="0.25">
      <c r="E547" t="str">
        <f>""</f>
        <v/>
      </c>
      <c r="F547" t="str">
        <f>""</f>
        <v/>
      </c>
      <c r="G547" s="3">
        <v>41.72</v>
      </c>
      <c r="H547" t="str">
        <f>"NABC"</f>
        <v>NABC</v>
      </c>
    </row>
    <row r="548" spans="5:8" x14ac:dyDescent="0.25">
      <c r="E548" t="str">
        <f>""</f>
        <v/>
      </c>
      <c r="F548" t="str">
        <f>""</f>
        <v/>
      </c>
      <c r="G548" s="3">
        <v>27.19</v>
      </c>
      <c r="H548" t="str">
        <f>"CREWBOWLCLN"</f>
        <v>CREWBOWLCLN</v>
      </c>
    </row>
    <row r="549" spans="5:8" x14ac:dyDescent="0.25">
      <c r="E549" t="str">
        <f>""</f>
        <v/>
      </c>
      <c r="F549" t="str">
        <f>""</f>
        <v/>
      </c>
      <c r="G549" s="3">
        <v>720.3</v>
      </c>
      <c r="H549" t="str">
        <f>"Inv#2064470 GP19371"</f>
        <v>Inv#2064470 GP19371</v>
      </c>
    </row>
    <row r="550" spans="5:8" x14ac:dyDescent="0.25">
      <c r="E550" t="str">
        <f>"2088439"</f>
        <v>2088439</v>
      </c>
      <c r="F550" t="str">
        <f>"Inv#2088439"</f>
        <v>Inv#2088439</v>
      </c>
      <c r="G550" s="3">
        <v>273.45</v>
      </c>
      <c r="H550" t="str">
        <f>"GP89480"</f>
        <v>GP89480</v>
      </c>
    </row>
    <row r="551" spans="5:8" x14ac:dyDescent="0.25">
      <c r="E551" t="str">
        <f>""</f>
        <v/>
      </c>
      <c r="F551" t="str">
        <f>""</f>
        <v/>
      </c>
      <c r="G551" s="3">
        <v>277.75</v>
      </c>
      <c r="H551" t="str">
        <f>"GP89420"</f>
        <v>GP89420</v>
      </c>
    </row>
    <row r="552" spans="5:8" x14ac:dyDescent="0.25">
      <c r="E552" t="str">
        <f>""</f>
        <v/>
      </c>
      <c r="F552" t="str">
        <f>""</f>
        <v/>
      </c>
      <c r="G552" s="3">
        <v>240.1</v>
      </c>
      <c r="H552" t="str">
        <f>"GP19371"</f>
        <v>GP19371</v>
      </c>
    </row>
    <row r="553" spans="5:8" x14ac:dyDescent="0.25">
      <c r="E553" t="str">
        <f>""</f>
        <v/>
      </c>
      <c r="F553" t="str">
        <f>""</f>
        <v/>
      </c>
      <c r="G553" s="3">
        <v>359.9</v>
      </c>
      <c r="H553" t="str">
        <f>"GP42715"</f>
        <v>GP42715</v>
      </c>
    </row>
    <row r="554" spans="5:8" x14ac:dyDescent="0.25">
      <c r="E554" t="str">
        <f>""</f>
        <v/>
      </c>
      <c r="F554" t="str">
        <f>""</f>
        <v/>
      </c>
      <c r="G554" s="3">
        <v>472.8</v>
      </c>
      <c r="H554" t="str">
        <f>"GP42334"</f>
        <v>GP42334</v>
      </c>
    </row>
    <row r="555" spans="5:8" x14ac:dyDescent="0.25">
      <c r="E555" t="str">
        <f>""</f>
        <v/>
      </c>
      <c r="F555" t="str">
        <f>""</f>
        <v/>
      </c>
      <c r="G555" s="3">
        <v>49.02</v>
      </c>
      <c r="H555" t="str">
        <f>"GP20389"</f>
        <v>GP20389</v>
      </c>
    </row>
    <row r="556" spans="5:8" x14ac:dyDescent="0.25">
      <c r="E556" t="str">
        <f>""</f>
        <v/>
      </c>
      <c r="F556" t="str">
        <f>""</f>
        <v/>
      </c>
      <c r="G556" s="3">
        <v>90</v>
      </c>
      <c r="H556" t="str">
        <f>"DS5000"</f>
        <v>DS5000</v>
      </c>
    </row>
    <row r="557" spans="5:8" x14ac:dyDescent="0.25">
      <c r="E557" t="str">
        <f>""</f>
        <v/>
      </c>
      <c r="F557" t="str">
        <f>""</f>
        <v/>
      </c>
      <c r="G557" s="3">
        <v>97.02</v>
      </c>
      <c r="H557" t="str">
        <f>"SUUU6"</f>
        <v>SUUU6</v>
      </c>
    </row>
    <row r="558" spans="5:8" x14ac:dyDescent="0.25">
      <c r="E558" t="str">
        <f>""</f>
        <v/>
      </c>
      <c r="F558" t="str">
        <f>""</f>
        <v/>
      </c>
      <c r="G558" s="3">
        <v>41.72</v>
      </c>
      <c r="H558" t="str">
        <f>"NABC"</f>
        <v>NABC</v>
      </c>
    </row>
    <row r="559" spans="5:8" x14ac:dyDescent="0.25">
      <c r="E559" t="str">
        <f>""</f>
        <v/>
      </c>
      <c r="F559" t="str">
        <f>""</f>
        <v/>
      </c>
      <c r="G559" s="3">
        <v>54.38</v>
      </c>
      <c r="H559" t="str">
        <f>"CREWBOWLCLN"</f>
        <v>CREWBOWLCLN</v>
      </c>
    </row>
    <row r="560" spans="5:8" x14ac:dyDescent="0.25">
      <c r="E560" t="str">
        <f>""</f>
        <v/>
      </c>
      <c r="F560" t="str">
        <f>""</f>
        <v/>
      </c>
      <c r="G560" s="3">
        <v>14.55</v>
      </c>
      <c r="H560" t="str">
        <f>"4100"</f>
        <v>4100</v>
      </c>
    </row>
    <row r="561" spans="1:8" x14ac:dyDescent="0.25">
      <c r="E561" t="str">
        <f>""</f>
        <v/>
      </c>
      <c r="F561" t="str">
        <f>""</f>
        <v/>
      </c>
      <c r="G561" s="3">
        <v>161.37</v>
      </c>
      <c r="H561" t="str">
        <f>"SHINEEP5"</f>
        <v>SHINEEP5</v>
      </c>
    </row>
    <row r="562" spans="1:8" x14ac:dyDescent="0.25">
      <c r="E562" t="str">
        <f>""</f>
        <v/>
      </c>
      <c r="F562" t="str">
        <f>""</f>
        <v/>
      </c>
      <c r="G562" s="3">
        <v>14.35</v>
      </c>
      <c r="H562" t="str">
        <f>"20MSTRP"</f>
        <v>20MSTRP</v>
      </c>
    </row>
    <row r="563" spans="1:8" x14ac:dyDescent="0.25">
      <c r="E563" t="str">
        <f>""</f>
        <v/>
      </c>
      <c r="F563" t="str">
        <f>""</f>
        <v/>
      </c>
      <c r="G563" s="3">
        <v>71.52</v>
      </c>
      <c r="H563" t="str">
        <f>"8541"</f>
        <v>8541</v>
      </c>
    </row>
    <row r="564" spans="1:8" x14ac:dyDescent="0.25">
      <c r="E564" t="str">
        <f>""</f>
        <v/>
      </c>
      <c r="F564" t="str">
        <f>""</f>
        <v/>
      </c>
      <c r="G564" s="3">
        <v>135.63999999999999</v>
      </c>
      <c r="H564" t="str">
        <f>"A11203"</f>
        <v>A11203</v>
      </c>
    </row>
    <row r="565" spans="1:8" x14ac:dyDescent="0.25">
      <c r="E565" t="str">
        <f>""</f>
        <v/>
      </c>
      <c r="F565" t="str">
        <f>""</f>
        <v/>
      </c>
      <c r="G565" s="3">
        <v>46</v>
      </c>
      <c r="H565" t="str">
        <f>"3201"</f>
        <v>3201</v>
      </c>
    </row>
    <row r="566" spans="1:8" x14ac:dyDescent="0.25">
      <c r="E566" t="str">
        <f>""</f>
        <v/>
      </c>
      <c r="F566" t="str">
        <f>""</f>
        <v/>
      </c>
      <c r="G566" s="3">
        <v>79.69</v>
      </c>
      <c r="H566" t="str">
        <f>"USNABC"</f>
        <v>USNABC</v>
      </c>
    </row>
    <row r="567" spans="1:8" x14ac:dyDescent="0.25">
      <c r="E567" t="str">
        <f>""</f>
        <v/>
      </c>
      <c r="F567" t="str">
        <f>""</f>
        <v/>
      </c>
      <c r="G567" s="3">
        <v>21.02</v>
      </c>
      <c r="H567" t="str">
        <f>"BCFAB"</f>
        <v>BCFAB</v>
      </c>
    </row>
    <row r="568" spans="1:8" x14ac:dyDescent="0.25">
      <c r="E568" t="str">
        <f>""</f>
        <v/>
      </c>
      <c r="F568" t="str">
        <f>""</f>
        <v/>
      </c>
      <c r="G568" s="3">
        <v>32.83</v>
      </c>
      <c r="H568" t="str">
        <f>"EX1"</f>
        <v>EX1</v>
      </c>
    </row>
    <row r="569" spans="1:8" x14ac:dyDescent="0.25">
      <c r="E569" t="str">
        <f>""</f>
        <v/>
      </c>
      <c r="F569" t="str">
        <f>""</f>
        <v/>
      </c>
      <c r="G569" s="3">
        <v>137.68</v>
      </c>
      <c r="H569" t="str">
        <f>"21CP"</f>
        <v>21CP</v>
      </c>
    </row>
    <row r="570" spans="1:8" x14ac:dyDescent="0.25">
      <c r="E570" t="str">
        <f>""</f>
        <v/>
      </c>
      <c r="F570" t="str">
        <f>""</f>
        <v/>
      </c>
      <c r="G570" s="3">
        <v>633</v>
      </c>
      <c r="H570" t="str">
        <f>"N105FL"</f>
        <v>N105FL</v>
      </c>
    </row>
    <row r="571" spans="1:8" x14ac:dyDescent="0.25">
      <c r="E571" t="str">
        <f>""</f>
        <v/>
      </c>
      <c r="F571" t="str">
        <f>""</f>
        <v/>
      </c>
      <c r="G571" s="3">
        <v>633</v>
      </c>
      <c r="H571" t="str">
        <f>"N105FM"</f>
        <v>N105FM</v>
      </c>
    </row>
    <row r="572" spans="1:8" x14ac:dyDescent="0.25">
      <c r="E572" t="str">
        <f>""</f>
        <v/>
      </c>
      <c r="F572" t="str">
        <f>""</f>
        <v/>
      </c>
      <c r="G572" s="3">
        <v>23.45</v>
      </c>
      <c r="H572" t="str">
        <f>"LD3044"</f>
        <v>LD3044</v>
      </c>
    </row>
    <row r="573" spans="1:8" x14ac:dyDescent="0.25">
      <c r="E573" t="str">
        <f>""</f>
        <v/>
      </c>
      <c r="F573" t="str">
        <f>""</f>
        <v/>
      </c>
      <c r="G573" s="3">
        <v>70.3</v>
      </c>
      <c r="H573" t="str">
        <f>"4011"</f>
        <v>4011</v>
      </c>
    </row>
    <row r="574" spans="1:8" x14ac:dyDescent="0.25">
      <c r="A574" t="s">
        <v>133</v>
      </c>
      <c r="B574">
        <v>5311</v>
      </c>
      <c r="C574" s="3">
        <v>3639.5</v>
      </c>
      <c r="D574" s="4">
        <v>44495</v>
      </c>
      <c r="E574" t="str">
        <f>"2117931"</f>
        <v>2117931</v>
      </c>
      <c r="F574" t="str">
        <f>"INV 2117931"</f>
        <v>INV 2117931</v>
      </c>
      <c r="G574" s="3">
        <v>792.2</v>
      </c>
      <c r="H574" t="str">
        <f>"INV 2117931"</f>
        <v>INV 2117931</v>
      </c>
    </row>
    <row r="575" spans="1:8" x14ac:dyDescent="0.25">
      <c r="E575" t="str">
        <f>"2117932"</f>
        <v>2117932</v>
      </c>
      <c r="F575" t="str">
        <f>"INV 2117932"</f>
        <v>INV 2117932</v>
      </c>
      <c r="G575" s="3">
        <v>2847.3</v>
      </c>
      <c r="H575" t="str">
        <f>"INV 2117932"</f>
        <v>INV 2117932</v>
      </c>
    </row>
    <row r="576" spans="1:8" x14ac:dyDescent="0.25">
      <c r="A576" t="s">
        <v>134</v>
      </c>
      <c r="B576">
        <v>137251</v>
      </c>
      <c r="C576" s="3">
        <v>360</v>
      </c>
      <c r="D576" s="4">
        <v>44481</v>
      </c>
      <c r="E576" t="str">
        <f>"1165461"</f>
        <v>1165461</v>
      </c>
      <c r="F576" t="str">
        <f>"ACCT#60128/PCT#4"</f>
        <v>ACCT#60128/PCT#4</v>
      </c>
      <c r="G576" s="3">
        <v>360</v>
      </c>
      <c r="H576" t="str">
        <f>"ACCT#60128/PCT#4"</f>
        <v>ACCT#60128/PCT#4</v>
      </c>
    </row>
    <row r="577" spans="1:8" x14ac:dyDescent="0.25">
      <c r="A577" t="s">
        <v>135</v>
      </c>
      <c r="B577">
        <v>137486</v>
      </c>
      <c r="C577" s="3">
        <v>835.1</v>
      </c>
      <c r="D577" s="4">
        <v>44494</v>
      </c>
      <c r="E577" t="str">
        <f>"26748"</f>
        <v>26748</v>
      </c>
      <c r="F577" t="str">
        <f>"Headsets Direct"</f>
        <v>Headsets Direct</v>
      </c>
      <c r="G577" s="3">
        <v>442.5</v>
      </c>
      <c r="H577" t="str">
        <f>"78712-101 Headset"</f>
        <v>78712-101 Headset</v>
      </c>
    </row>
    <row r="578" spans="1:8" x14ac:dyDescent="0.25">
      <c r="E578" t="str">
        <f>""</f>
        <v/>
      </c>
      <c r="F578" t="str">
        <f>""</f>
        <v/>
      </c>
      <c r="G578" s="3">
        <v>374.6</v>
      </c>
      <c r="H578" t="str">
        <f>"80322-01 Battery"</f>
        <v>80322-01 Battery</v>
      </c>
    </row>
    <row r="579" spans="1:8" x14ac:dyDescent="0.25">
      <c r="E579" t="str">
        <f>""</f>
        <v/>
      </c>
      <c r="F579" t="str">
        <f>""</f>
        <v/>
      </c>
      <c r="G579" s="3">
        <v>18</v>
      </c>
      <c r="H579" t="str">
        <f>"Freight Charge"</f>
        <v>Freight Charge</v>
      </c>
    </row>
    <row r="580" spans="1:8" x14ac:dyDescent="0.25">
      <c r="A580" t="s">
        <v>136</v>
      </c>
      <c r="B580">
        <v>137487</v>
      </c>
      <c r="C580" s="3">
        <v>498</v>
      </c>
      <c r="D580" s="4">
        <v>44494</v>
      </c>
      <c r="E580" t="str">
        <f>"647906"</f>
        <v>647906</v>
      </c>
      <c r="F580" t="str">
        <f>"SCHEDULE OF FINES - JP#1 2 3 4"</f>
        <v>SCHEDULE OF FINES - JP#1 2 3 4</v>
      </c>
      <c r="G580" s="3">
        <v>124.5</v>
      </c>
      <c r="H580" t="str">
        <f>"SCHEDULE OF FINES - JP#1 2 3 4"</f>
        <v>SCHEDULE OF FINES - JP#1 2 3 4</v>
      </c>
    </row>
    <row r="581" spans="1:8" x14ac:dyDescent="0.25">
      <c r="E581" t="str">
        <f>""</f>
        <v/>
      </c>
      <c r="F581" t="str">
        <f>""</f>
        <v/>
      </c>
      <c r="G581" s="3">
        <v>124.5</v>
      </c>
      <c r="H581" t="str">
        <f>"SCHEDULE OF FINES - JP#1 2 3 4"</f>
        <v>SCHEDULE OF FINES - JP#1 2 3 4</v>
      </c>
    </row>
    <row r="582" spans="1:8" x14ac:dyDescent="0.25">
      <c r="E582" t="str">
        <f>""</f>
        <v/>
      </c>
      <c r="F582" t="str">
        <f>""</f>
        <v/>
      </c>
      <c r="G582" s="3">
        <v>124.5</v>
      </c>
      <c r="H582" t="str">
        <f>"SCHEDULE OF FINES - JP#1 2 3 4"</f>
        <v>SCHEDULE OF FINES - JP#1 2 3 4</v>
      </c>
    </row>
    <row r="583" spans="1:8" x14ac:dyDescent="0.25">
      <c r="E583" t="str">
        <f>""</f>
        <v/>
      </c>
      <c r="F583" t="str">
        <f>""</f>
        <v/>
      </c>
      <c r="G583" s="3">
        <v>124.5</v>
      </c>
      <c r="H583" t="str">
        <f>"SCHEDULE OF FINES - JP#1 2 3 4"</f>
        <v>SCHEDULE OF FINES - JP#1 2 3 4</v>
      </c>
    </row>
    <row r="584" spans="1:8" x14ac:dyDescent="0.25">
      <c r="A584" t="s">
        <v>137</v>
      </c>
      <c r="B584">
        <v>5302</v>
      </c>
      <c r="C584" s="3">
        <v>650</v>
      </c>
      <c r="D584" s="4">
        <v>44495</v>
      </c>
      <c r="E584" t="str">
        <f>"202110206647"</f>
        <v>202110206647</v>
      </c>
      <c r="F584" t="str">
        <f>"BASCOM L HODGES JR"</f>
        <v>BASCOM L HODGES JR</v>
      </c>
      <c r="G584" s="3">
        <v>650</v>
      </c>
      <c r="H584" t="str">
        <f>""</f>
        <v/>
      </c>
    </row>
    <row r="585" spans="1:8" x14ac:dyDescent="0.25">
      <c r="A585" t="s">
        <v>138</v>
      </c>
      <c r="B585">
        <v>137488</v>
      </c>
      <c r="C585" s="3">
        <v>89.75</v>
      </c>
      <c r="D585" s="4">
        <v>44494</v>
      </c>
      <c r="E585" t="str">
        <f>"202110146490"</f>
        <v>202110146490</v>
      </c>
      <c r="F585" t="str">
        <f>"REIMB CRT RPT ED SEMINAR"</f>
        <v>REIMB CRT RPT ED SEMINAR</v>
      </c>
      <c r="G585" s="3">
        <v>89.75</v>
      </c>
      <c r="H585" t="str">
        <f>"REIMB CRT RPT ED SEMINAR"</f>
        <v>REIMB CRT RPT ED SEMINAR</v>
      </c>
    </row>
    <row r="586" spans="1:8" x14ac:dyDescent="0.25">
      <c r="A586" t="s">
        <v>139</v>
      </c>
      <c r="B586">
        <v>5223</v>
      </c>
      <c r="C586" s="3">
        <v>2951.48</v>
      </c>
      <c r="D586" s="4">
        <v>44482</v>
      </c>
      <c r="E586" t="str">
        <f>"PCM60017199"</f>
        <v>PCM60017199</v>
      </c>
      <c r="F586" t="str">
        <f>"CUST#0129050/PCT#1"</f>
        <v>CUST#0129050/PCT#1</v>
      </c>
      <c r="G586" s="3">
        <v>-281.08999999999997</v>
      </c>
      <c r="H586" t="str">
        <f>"CUST#0129050/PCT#1"</f>
        <v>CUST#0129050/PCT#1</v>
      </c>
    </row>
    <row r="587" spans="1:8" x14ac:dyDescent="0.25">
      <c r="E587" t="str">
        <f>"PIM60066924"</f>
        <v>PIM60066924</v>
      </c>
      <c r="F587" t="str">
        <f>"CUST#0129050/PCT#1"</f>
        <v>CUST#0129050/PCT#1</v>
      </c>
      <c r="G587" s="3">
        <v>74.239999999999995</v>
      </c>
      <c r="H587" t="str">
        <f>"CUST#0129050/PCT#1"</f>
        <v>CUST#0129050/PCT#1</v>
      </c>
    </row>
    <row r="588" spans="1:8" x14ac:dyDescent="0.25">
      <c r="E588" t="str">
        <f>"PIM60071868"</f>
        <v>PIM60071868</v>
      </c>
      <c r="F588" t="str">
        <f>"CUST#0129050/PCT#1"</f>
        <v>CUST#0129050/PCT#1</v>
      </c>
      <c r="G588" s="3">
        <v>602.99</v>
      </c>
      <c r="H588" t="str">
        <f>"CUST#0129050/PCT#1"</f>
        <v>CUST#0129050/PCT#1</v>
      </c>
    </row>
    <row r="589" spans="1:8" x14ac:dyDescent="0.25">
      <c r="E589" t="str">
        <f>"WIMA0152268"</f>
        <v>WIMA0152268</v>
      </c>
      <c r="F589" t="str">
        <f>"CUST#0129200/PCT#4"</f>
        <v>CUST#0129200/PCT#4</v>
      </c>
      <c r="G589" s="3">
        <v>712</v>
      </c>
      <c r="H589" t="str">
        <f>"CUST#0129200/PCT#4"</f>
        <v>CUST#0129200/PCT#4</v>
      </c>
    </row>
    <row r="590" spans="1:8" x14ac:dyDescent="0.25">
      <c r="E590" t="str">
        <f>"WIMA0152335"</f>
        <v>WIMA0152335</v>
      </c>
      <c r="F590" t="str">
        <f>"CUST#0129100/PCT#2"</f>
        <v>CUST#0129100/PCT#2</v>
      </c>
      <c r="G590" s="3">
        <v>1157.1300000000001</v>
      </c>
      <c r="H590" t="str">
        <f>"CUST#0129100/PCT#2"</f>
        <v>CUST#0129100/PCT#2</v>
      </c>
    </row>
    <row r="591" spans="1:8" x14ac:dyDescent="0.25">
      <c r="E591" t="str">
        <f>"WINN0022555"</f>
        <v>WINN0022555</v>
      </c>
      <c r="F591" t="str">
        <f>"CUST#0129050/PCT#1"</f>
        <v>CUST#0129050/PCT#1</v>
      </c>
      <c r="G591" s="3">
        <v>686.21</v>
      </c>
      <c r="H591" t="str">
        <f>"CUST#0129050/PCT#1"</f>
        <v>CUST#0129050/PCT#1</v>
      </c>
    </row>
    <row r="592" spans="1:8" x14ac:dyDescent="0.25">
      <c r="A592" t="s">
        <v>139</v>
      </c>
      <c r="B592">
        <v>5301</v>
      </c>
      <c r="C592" s="3">
        <v>3135.17</v>
      </c>
      <c r="D592" s="4">
        <v>44495</v>
      </c>
      <c r="E592" t="str">
        <f>"WIVN0022695"</f>
        <v>WIVN0022695</v>
      </c>
      <c r="F592" t="str">
        <f>"CUST#0129200/PCT#4"</f>
        <v>CUST#0129200/PCT#4</v>
      </c>
      <c r="G592" s="3">
        <v>3135.17</v>
      </c>
      <c r="H592" t="str">
        <f>"CUST#0129200/PCT#4"</f>
        <v>CUST#0129200/PCT#4</v>
      </c>
    </row>
    <row r="593" spans="1:8" x14ac:dyDescent="0.25">
      <c r="A593" t="s">
        <v>140</v>
      </c>
      <c r="B593">
        <v>137252</v>
      </c>
      <c r="C593" s="3">
        <v>1236.03</v>
      </c>
      <c r="D593" s="4">
        <v>44481</v>
      </c>
      <c r="E593" t="str">
        <f>"7523177 753327"</f>
        <v>7523177 753327</v>
      </c>
      <c r="F593" t="str">
        <f>"Statement 01"</f>
        <v>Statement 01</v>
      </c>
      <c r="G593" s="3">
        <v>41.88</v>
      </c>
      <c r="H593" t="str">
        <f>"2533727"</f>
        <v>2533727</v>
      </c>
    </row>
    <row r="594" spans="1:8" x14ac:dyDescent="0.25">
      <c r="E594" t="str">
        <f>""</f>
        <v/>
      </c>
      <c r="F594" t="str">
        <f>""</f>
        <v/>
      </c>
      <c r="G594" s="3">
        <v>14.98</v>
      </c>
      <c r="H594" t="str">
        <f>"1533753"</f>
        <v>1533753</v>
      </c>
    </row>
    <row r="595" spans="1:8" x14ac:dyDescent="0.25">
      <c r="E595" t="str">
        <f>""</f>
        <v/>
      </c>
      <c r="F595" t="str">
        <f>""</f>
        <v/>
      </c>
      <c r="G595" s="3">
        <v>53.96</v>
      </c>
      <c r="H595" t="str">
        <f>"5020985"</f>
        <v>5020985</v>
      </c>
    </row>
    <row r="596" spans="1:8" x14ac:dyDescent="0.25">
      <c r="E596" t="str">
        <f>""</f>
        <v/>
      </c>
      <c r="F596" t="str">
        <f>""</f>
        <v/>
      </c>
      <c r="G596" s="3">
        <v>32.93</v>
      </c>
      <c r="H596" t="str">
        <f>"3021198"</f>
        <v>3021198</v>
      </c>
    </row>
    <row r="597" spans="1:8" x14ac:dyDescent="0.25">
      <c r="E597" t="str">
        <f>""</f>
        <v/>
      </c>
      <c r="F597" t="str">
        <f>""</f>
        <v/>
      </c>
      <c r="G597" s="3">
        <v>139</v>
      </c>
      <c r="H597" t="str">
        <f>"1151606"</f>
        <v>1151606</v>
      </c>
    </row>
    <row r="598" spans="1:8" x14ac:dyDescent="0.25">
      <c r="E598" t="str">
        <f>""</f>
        <v/>
      </c>
      <c r="F598" t="str">
        <f>""</f>
        <v/>
      </c>
      <c r="G598" s="3">
        <v>-139</v>
      </c>
      <c r="H598" t="str">
        <f>"1151605"</f>
        <v>1151605</v>
      </c>
    </row>
    <row r="599" spans="1:8" x14ac:dyDescent="0.25">
      <c r="E599" t="str">
        <f>""</f>
        <v/>
      </c>
      <c r="F599" t="str">
        <f>""</f>
        <v/>
      </c>
      <c r="G599" s="3">
        <v>169.17</v>
      </c>
      <c r="H599" t="str">
        <f>"7533327"</f>
        <v>7533327</v>
      </c>
    </row>
    <row r="600" spans="1:8" x14ac:dyDescent="0.25">
      <c r="E600" t="str">
        <f>""</f>
        <v/>
      </c>
      <c r="F600" t="str">
        <f>""</f>
        <v/>
      </c>
      <c r="G600" s="3">
        <v>171.23</v>
      </c>
      <c r="H600" t="str">
        <f>"1041866"</f>
        <v>1041866</v>
      </c>
    </row>
    <row r="601" spans="1:8" x14ac:dyDescent="0.25">
      <c r="E601" t="str">
        <f>""</f>
        <v/>
      </c>
      <c r="F601" t="str">
        <f>""</f>
        <v/>
      </c>
      <c r="G601" s="3">
        <v>59.31</v>
      </c>
      <c r="H601" t="str">
        <f>"7523177"</f>
        <v>7523177</v>
      </c>
    </row>
    <row r="602" spans="1:8" x14ac:dyDescent="0.25">
      <c r="E602" t="str">
        <f>""</f>
        <v/>
      </c>
      <c r="F602" t="str">
        <f>""</f>
        <v/>
      </c>
      <c r="G602" s="3">
        <v>333.48</v>
      </c>
      <c r="H602" t="str">
        <f>"1014994"</f>
        <v>1014994</v>
      </c>
    </row>
    <row r="603" spans="1:8" x14ac:dyDescent="0.25">
      <c r="E603" t="str">
        <f>""</f>
        <v/>
      </c>
      <c r="F603" t="str">
        <f>""</f>
        <v/>
      </c>
      <c r="G603" s="3">
        <v>198.11</v>
      </c>
      <c r="H603" t="str">
        <f>"9021546"</f>
        <v>9021546</v>
      </c>
    </row>
    <row r="604" spans="1:8" x14ac:dyDescent="0.25">
      <c r="E604" t="str">
        <f>""</f>
        <v/>
      </c>
      <c r="F604" t="str">
        <f>""</f>
        <v/>
      </c>
      <c r="G604" s="3">
        <v>21.98</v>
      </c>
      <c r="H604" t="str">
        <f>"8114752"</f>
        <v>8114752</v>
      </c>
    </row>
    <row r="605" spans="1:8" x14ac:dyDescent="0.25">
      <c r="E605" t="str">
        <f>""</f>
        <v/>
      </c>
      <c r="F605" t="str">
        <f>""</f>
        <v/>
      </c>
      <c r="G605" s="3">
        <v>150.47</v>
      </c>
      <c r="H605" t="str">
        <f>"1015007"</f>
        <v>1015007</v>
      </c>
    </row>
    <row r="606" spans="1:8" x14ac:dyDescent="0.25">
      <c r="E606" t="str">
        <f>""</f>
        <v/>
      </c>
      <c r="F606" t="str">
        <f>""</f>
        <v/>
      </c>
      <c r="G606" s="3">
        <v>-11.47</v>
      </c>
      <c r="H606" t="str">
        <f>"1093617"</f>
        <v>1093617</v>
      </c>
    </row>
    <row r="607" spans="1:8" x14ac:dyDescent="0.25">
      <c r="A607" t="s">
        <v>141</v>
      </c>
      <c r="B607">
        <v>5289</v>
      </c>
      <c r="C607" s="3">
        <v>726.43</v>
      </c>
      <c r="D607" s="4">
        <v>44495</v>
      </c>
      <c r="E607" t="str">
        <f>"0552379932"</f>
        <v>0552379932</v>
      </c>
      <c r="F607" t="str">
        <f>"CUST#212645/COOL WATER"</f>
        <v>CUST#212645/COOL WATER</v>
      </c>
      <c r="G607" s="3">
        <v>511.43</v>
      </c>
      <c r="H607" t="str">
        <f>"CUST#212645/COOL WATER"</f>
        <v>CUST#212645/COOL WATER</v>
      </c>
    </row>
    <row r="608" spans="1:8" x14ac:dyDescent="0.25">
      <c r="E608" t="str">
        <f>"0552382431"</f>
        <v>0552382431</v>
      </c>
      <c r="F608" t="str">
        <f>"CUST#212645/RIVERSIDE LAUNCH"</f>
        <v>CUST#212645/RIVERSIDE LAUNCH</v>
      </c>
      <c r="G608" s="3">
        <v>215</v>
      </c>
      <c r="H608" t="str">
        <f>"CUST#212645/RIVERSIDE LAUNCH"</f>
        <v>CUST#212645/RIVERSIDE LAUNCH</v>
      </c>
    </row>
    <row r="609" spans="1:8" x14ac:dyDescent="0.25">
      <c r="A609" t="s">
        <v>142</v>
      </c>
      <c r="B609">
        <v>137489</v>
      </c>
      <c r="C609" s="3">
        <v>659.21</v>
      </c>
      <c r="D609" s="4">
        <v>44494</v>
      </c>
      <c r="E609" t="str">
        <f>"14803"</f>
        <v>14803</v>
      </c>
      <c r="F609" t="str">
        <f>"SHIRTS/EMBROIDERY/PCT#1"</f>
        <v>SHIRTS/EMBROIDERY/PCT#1</v>
      </c>
      <c r="G609" s="3">
        <v>659.21</v>
      </c>
      <c r="H609" t="str">
        <f>"SHIRTS/EMBROIDERY/PCT#1"</f>
        <v>SHIRTS/EMBROIDERY/PCT#1</v>
      </c>
    </row>
    <row r="610" spans="1:8" x14ac:dyDescent="0.25">
      <c r="A610" t="s">
        <v>143</v>
      </c>
      <c r="B610">
        <v>5288</v>
      </c>
      <c r="C610" s="3">
        <v>475</v>
      </c>
      <c r="D610" s="4">
        <v>44495</v>
      </c>
      <c r="E610" t="str">
        <f>"BCAS_9012021"</f>
        <v>BCAS_9012021</v>
      </c>
      <c r="F610" t="str">
        <f>"SHELTERLUV SOFTWARE"</f>
        <v>SHELTERLUV SOFTWARE</v>
      </c>
      <c r="G610" s="3">
        <v>475</v>
      </c>
      <c r="H610" t="str">
        <f>"SHELTERLUV SOFTWARE"</f>
        <v>SHELTERLUV SOFTWARE</v>
      </c>
    </row>
    <row r="611" spans="1:8" x14ac:dyDescent="0.25">
      <c r="A611" t="s">
        <v>144</v>
      </c>
      <c r="B611">
        <v>137253</v>
      </c>
      <c r="C611" s="3">
        <v>6112.9</v>
      </c>
      <c r="D611" s="4">
        <v>44481</v>
      </c>
      <c r="E611" t="str">
        <f>"WI-33576-K6J5"</f>
        <v>WI-33576-K6J5</v>
      </c>
      <c r="F611" t="str">
        <f>"AGREEMENT#001725"</f>
        <v>AGREEMENT#001725</v>
      </c>
      <c r="G611" s="3">
        <v>2374</v>
      </c>
      <c r="H611" t="str">
        <f>"AGREEMENT#001725"</f>
        <v>AGREEMENT#001725</v>
      </c>
    </row>
    <row r="612" spans="1:8" x14ac:dyDescent="0.25">
      <c r="E612" t="str">
        <f>"WI-33774-D8K7"</f>
        <v>WI-33774-D8K7</v>
      </c>
      <c r="F612" t="str">
        <f>"INV WI-33774-D8K7"</f>
        <v>INV WI-33774-D8K7</v>
      </c>
      <c r="G612" s="3">
        <v>3738.9</v>
      </c>
      <c r="H612" t="str">
        <f>"INV WI-33774-D8K7"</f>
        <v>INV WI-33774-D8K7</v>
      </c>
    </row>
    <row r="613" spans="1:8" x14ac:dyDescent="0.25">
      <c r="A613" t="s">
        <v>144</v>
      </c>
      <c r="B613">
        <v>137490</v>
      </c>
      <c r="C613" s="3">
        <v>3103.75</v>
      </c>
      <c r="D613" s="4">
        <v>44494</v>
      </c>
      <c r="E613" t="str">
        <f>"WI-33830-F1Q8"</f>
        <v>WI-33830-F1Q8</v>
      </c>
      <c r="F613" t="str">
        <f>"INV WI-33830-R1Q8"</f>
        <v>INV WI-33830-R1Q8</v>
      </c>
      <c r="G613" s="3">
        <v>3103.75</v>
      </c>
      <c r="H613" t="str">
        <f>"INV WI-33830-F1Q8"</f>
        <v>INV WI-33830-F1Q8</v>
      </c>
    </row>
    <row r="614" spans="1:8" x14ac:dyDescent="0.25">
      <c r="A614" t="s">
        <v>145</v>
      </c>
      <c r="B614">
        <v>5189</v>
      </c>
      <c r="C614" s="3">
        <v>339.14</v>
      </c>
      <c r="D614" s="4">
        <v>44482</v>
      </c>
      <c r="E614" t="str">
        <f>"208174"</f>
        <v>208174</v>
      </c>
      <c r="F614" t="str">
        <f>"SUPPLIES/PCT#1"</f>
        <v>SUPPLIES/PCT#1</v>
      </c>
      <c r="G614" s="3">
        <v>164.14</v>
      </c>
      <c r="H614" t="str">
        <f>"SUPPLIES/PCT#1"</f>
        <v>SUPPLIES/PCT#1</v>
      </c>
    </row>
    <row r="615" spans="1:8" x14ac:dyDescent="0.25">
      <c r="E615" t="str">
        <f>"208183"</f>
        <v>208183</v>
      </c>
      <c r="F615" t="str">
        <f>"SUPPLIES/PCT#3"</f>
        <v>SUPPLIES/PCT#3</v>
      </c>
      <c r="G615" s="3">
        <v>175</v>
      </c>
      <c r="H615" t="str">
        <f>"SUPPLIES/PCT#3"</f>
        <v>SUPPLIES/PCT#3</v>
      </c>
    </row>
    <row r="616" spans="1:8" x14ac:dyDescent="0.25">
      <c r="A616" t="s">
        <v>146</v>
      </c>
      <c r="B616">
        <v>137254</v>
      </c>
      <c r="C616" s="3">
        <v>272</v>
      </c>
      <c r="D616" s="4">
        <v>44481</v>
      </c>
      <c r="E616" t="str">
        <f>"3093183907"</f>
        <v>3093183907</v>
      </c>
      <c r="F616" t="str">
        <f>"ACCT#187947/ANIMAL CONTROL"</f>
        <v>ACCT#187947/ANIMAL CONTROL</v>
      </c>
      <c r="G616" s="3">
        <v>272</v>
      </c>
      <c r="H616" t="str">
        <f>"ACCT#187947/ANIMAL CONTROL"</f>
        <v>ACCT#187947/ANIMAL CONTROL</v>
      </c>
    </row>
    <row r="617" spans="1:8" x14ac:dyDescent="0.25">
      <c r="A617" t="s">
        <v>147</v>
      </c>
      <c r="B617">
        <v>5231</v>
      </c>
      <c r="C617" s="3">
        <v>2430</v>
      </c>
      <c r="D617" s="4">
        <v>44482</v>
      </c>
      <c r="E617" t="str">
        <f>"72453"</f>
        <v>72453</v>
      </c>
      <c r="F617" t="str">
        <f>"PROF SVCS - NOVEMBER 2021"</f>
        <v>PROF SVCS - NOVEMBER 2021</v>
      </c>
      <c r="G617" s="3">
        <v>1973</v>
      </c>
      <c r="H617" t="str">
        <f>"PROF SVCS - NOVEMBER 2021"</f>
        <v>PROF SVCS - NOVEMBER 2021</v>
      </c>
    </row>
    <row r="618" spans="1:8" x14ac:dyDescent="0.25">
      <c r="E618" t="str">
        <f>""</f>
        <v/>
      </c>
      <c r="F618" t="str">
        <f>""</f>
        <v/>
      </c>
      <c r="G618" s="3">
        <v>457</v>
      </c>
      <c r="H618" t="str">
        <f>"PROF SVCS - NOVEMBER 2021"</f>
        <v>PROF SVCS - NOVEMBER 2021</v>
      </c>
    </row>
    <row r="619" spans="1:8" x14ac:dyDescent="0.25">
      <c r="A619" t="s">
        <v>148</v>
      </c>
      <c r="B619">
        <v>137491</v>
      </c>
      <c r="C619" s="3">
        <v>479.02</v>
      </c>
      <c r="D619" s="4">
        <v>44494</v>
      </c>
      <c r="E619" t="str">
        <f>"IN-0992017"</f>
        <v>IN-0992017</v>
      </c>
      <c r="F619" t="str">
        <f>"ACCT#020798/TUBING/PCT#3"</f>
        <v>ACCT#020798/TUBING/PCT#3</v>
      </c>
      <c r="G619" s="3">
        <v>479.02</v>
      </c>
      <c r="H619" t="str">
        <f>"ACCT#020798/TUBING/PCT#3"</f>
        <v>ACCT#020798/TUBING/PCT#3</v>
      </c>
    </row>
    <row r="620" spans="1:8" x14ac:dyDescent="0.25">
      <c r="A620" t="s">
        <v>149</v>
      </c>
      <c r="B620">
        <v>137492</v>
      </c>
      <c r="C620" s="3">
        <v>455</v>
      </c>
      <c r="D620" s="4">
        <v>44494</v>
      </c>
      <c r="E620" t="str">
        <f>"202110196608"</f>
        <v>202110196608</v>
      </c>
      <c r="F620" t="str">
        <f>"MEMBER ID:316552/TYPE:PA4"</f>
        <v>MEMBER ID:316552/TYPE:PA4</v>
      </c>
      <c r="G620" s="3">
        <v>455</v>
      </c>
      <c r="H620" t="str">
        <f>"MEMBER ID:316552/TYPE:PA4"</f>
        <v>MEMBER ID:316552/TYPE:PA4</v>
      </c>
    </row>
    <row r="621" spans="1:8" x14ac:dyDescent="0.25">
      <c r="A621" t="s">
        <v>150</v>
      </c>
      <c r="B621">
        <v>137493</v>
      </c>
      <c r="C621" s="3">
        <v>482.52</v>
      </c>
      <c r="D621" s="4">
        <v>44494</v>
      </c>
      <c r="E621" t="str">
        <f>"3025118610"</f>
        <v>3025118610</v>
      </c>
      <c r="F621" t="str">
        <f>"CUST#109334/VALVE/PCT#3"</f>
        <v>CUST#109334/VALVE/PCT#3</v>
      </c>
      <c r="G621" s="3">
        <v>455</v>
      </c>
      <c r="H621" t="str">
        <f>"CUST#109334/VALVE/PCT#3"</f>
        <v>CUST#109334/VALVE/PCT#3</v>
      </c>
    </row>
    <row r="622" spans="1:8" x14ac:dyDescent="0.25">
      <c r="E622" t="str">
        <f>"S0130622371"</f>
        <v>S0130622371</v>
      </c>
      <c r="F622" t="str">
        <f>"ACCT#336320/PCT#3"</f>
        <v>ACCT#336320/PCT#3</v>
      </c>
      <c r="G622" s="3">
        <v>27.52</v>
      </c>
      <c r="H622" t="str">
        <f>"ACCT#336320/PCT#3"</f>
        <v>ACCT#336320/PCT#3</v>
      </c>
    </row>
    <row r="623" spans="1:8" x14ac:dyDescent="0.25">
      <c r="A623" t="s">
        <v>151</v>
      </c>
      <c r="B623">
        <v>137255</v>
      </c>
      <c r="C623" s="3">
        <v>173.52</v>
      </c>
      <c r="D623" s="4">
        <v>44481</v>
      </c>
      <c r="E623" t="str">
        <f>"DXXK314"</f>
        <v>DXXK314</v>
      </c>
      <c r="F623" t="str">
        <f>"CUST#AX773/COUNTY CLERK"</f>
        <v>CUST#AX773/COUNTY CLERK</v>
      </c>
      <c r="G623" s="3">
        <v>173.52</v>
      </c>
      <c r="H623" t="str">
        <f>"CUST#AX773/COUNTY CLERK"</f>
        <v>CUST#AX773/COUNTY CLERK</v>
      </c>
    </row>
    <row r="624" spans="1:8" x14ac:dyDescent="0.25">
      <c r="A624" t="s">
        <v>152</v>
      </c>
      <c r="B624">
        <v>137256</v>
      </c>
      <c r="C624" s="3">
        <v>100</v>
      </c>
      <c r="D624" s="4">
        <v>44481</v>
      </c>
      <c r="E624" t="str">
        <f>"202110045967"</f>
        <v>202110045967</v>
      </c>
      <c r="F624" t="str">
        <f>"REIMBURSE/JAYCEE DAWSON"</f>
        <v>REIMBURSE/JAYCEE DAWSON</v>
      </c>
      <c r="G624" s="3">
        <v>100</v>
      </c>
      <c r="H624" t="str">
        <f>"REIMBURSE/JAYCEE DAWSON"</f>
        <v>REIMBURSE/JAYCEE DAWSON</v>
      </c>
    </row>
    <row r="625" spans="1:8" x14ac:dyDescent="0.25">
      <c r="A625" t="s">
        <v>153</v>
      </c>
      <c r="B625">
        <v>5316</v>
      </c>
      <c r="C625" s="3">
        <v>150</v>
      </c>
      <c r="D625" s="4">
        <v>44495</v>
      </c>
      <c r="E625" t="str">
        <f>"12456"</f>
        <v>12456</v>
      </c>
      <c r="F625" t="str">
        <f>"AD LITEM"</f>
        <v>AD LITEM</v>
      </c>
      <c r="G625" s="3">
        <v>150</v>
      </c>
      <c r="H625" t="str">
        <f>"AD LITEM"</f>
        <v>AD LITEM</v>
      </c>
    </row>
    <row r="626" spans="1:8" x14ac:dyDescent="0.25">
      <c r="A626" t="s">
        <v>154</v>
      </c>
      <c r="B626">
        <v>137257</v>
      </c>
      <c r="C626" s="3">
        <v>135</v>
      </c>
      <c r="D626" s="4">
        <v>44481</v>
      </c>
      <c r="E626" t="str">
        <f>"202110066136"</f>
        <v>202110066136</v>
      </c>
      <c r="F626" t="str">
        <f>"PER DIEM"</f>
        <v>PER DIEM</v>
      </c>
      <c r="G626" s="3">
        <v>135</v>
      </c>
      <c r="H626" t="str">
        <f>"PER DIEM"</f>
        <v>PER DIEM</v>
      </c>
    </row>
    <row r="627" spans="1:8" x14ac:dyDescent="0.25">
      <c r="A627" t="s">
        <v>155</v>
      </c>
      <c r="B627">
        <v>137494</v>
      </c>
      <c r="C627" s="3">
        <v>184</v>
      </c>
      <c r="D627" s="4">
        <v>44494</v>
      </c>
      <c r="E627" t="str">
        <f>"1415"</f>
        <v>1415</v>
      </c>
      <c r="F627" t="str">
        <f>"INV 1415"</f>
        <v>INV 1415</v>
      </c>
      <c r="G627" s="3">
        <v>184</v>
      </c>
      <c r="H627" t="str">
        <f>"INV 1415"</f>
        <v>INV 1415</v>
      </c>
    </row>
    <row r="628" spans="1:8" x14ac:dyDescent="0.25">
      <c r="A628" t="s">
        <v>156</v>
      </c>
      <c r="B628">
        <v>137495</v>
      </c>
      <c r="C628" s="3">
        <v>47.94</v>
      </c>
      <c r="D628" s="4">
        <v>44494</v>
      </c>
      <c r="E628" t="str">
        <f>"202110196606"</f>
        <v>202110196606</v>
      </c>
      <c r="F628" t="str">
        <f>"REIMBURSEMENT"</f>
        <v>REIMBURSEMENT</v>
      </c>
      <c r="G628" s="3">
        <v>47.94</v>
      </c>
      <c r="H628" t="str">
        <f>"REIMBURSEMENT"</f>
        <v>REIMBURSEMENT</v>
      </c>
    </row>
    <row r="629" spans="1:8" x14ac:dyDescent="0.25">
      <c r="A629" t="s">
        <v>157</v>
      </c>
      <c r="B629">
        <v>137258</v>
      </c>
      <c r="C629" s="3">
        <v>1000</v>
      </c>
      <c r="D629" s="4">
        <v>44481</v>
      </c>
      <c r="E629" t="str">
        <f>"202110056082"</f>
        <v>202110056082</v>
      </c>
      <c r="F629" t="str">
        <f>"CASH BOND REFUND"</f>
        <v>CASH BOND REFUND</v>
      </c>
      <c r="G629" s="3">
        <v>1000</v>
      </c>
      <c r="H629" t="str">
        <f>"CASH BOND REFUND"</f>
        <v>CASH BOND REFUND</v>
      </c>
    </row>
    <row r="630" spans="1:8" x14ac:dyDescent="0.25">
      <c r="A630" t="s">
        <v>158</v>
      </c>
      <c r="B630">
        <v>137259</v>
      </c>
      <c r="C630" s="3">
        <v>25</v>
      </c>
      <c r="D630" s="4">
        <v>44481</v>
      </c>
      <c r="E630" t="s">
        <v>90</v>
      </c>
      <c r="F630" s="3" t="str">
        <f>"RESTITUTION - MARCUS MANZANARE"</f>
        <v>RESTITUTION - MARCUS MANZANARE</v>
      </c>
      <c r="G630" s="3">
        <v>25</v>
      </c>
      <c r="H630" s="3" t="str">
        <f>"RESTITUTION - MARCUS MANZANARE"</f>
        <v>RESTITUTION - MARCUS MANZANARE</v>
      </c>
    </row>
    <row r="631" spans="1:8" x14ac:dyDescent="0.25">
      <c r="A631" t="s">
        <v>159</v>
      </c>
      <c r="B631">
        <v>137496</v>
      </c>
      <c r="C631" s="3">
        <v>1500</v>
      </c>
      <c r="D631" s="4">
        <v>44494</v>
      </c>
      <c r="E631" t="str">
        <f>"202110146474"</f>
        <v>202110146474</v>
      </c>
      <c r="F631" t="str">
        <f>"3050520216"</f>
        <v>3050520216</v>
      </c>
      <c r="G631" s="3">
        <v>250</v>
      </c>
      <c r="H631" t="str">
        <f>"3050520216"</f>
        <v>3050520216</v>
      </c>
    </row>
    <row r="632" spans="1:8" x14ac:dyDescent="0.25">
      <c r="E632" t="str">
        <f>"202110146475"</f>
        <v>202110146475</v>
      </c>
      <c r="F632" t="str">
        <f>"BC202103296"</f>
        <v>BC202103296</v>
      </c>
      <c r="G632" s="3">
        <v>250</v>
      </c>
      <c r="H632" t="str">
        <f>"BC202103296"</f>
        <v>BC202103296</v>
      </c>
    </row>
    <row r="633" spans="1:8" x14ac:dyDescent="0.25">
      <c r="E633" t="str">
        <f>"202110146476"</f>
        <v>202110146476</v>
      </c>
      <c r="F633" t="str">
        <f>"57 889"</f>
        <v>57 889</v>
      </c>
      <c r="G633" s="3">
        <v>250</v>
      </c>
      <c r="H633" t="str">
        <f>"57 889"</f>
        <v>57 889</v>
      </c>
    </row>
    <row r="634" spans="1:8" x14ac:dyDescent="0.25">
      <c r="E634" t="str">
        <f>"202110146477"</f>
        <v>202110146477</v>
      </c>
      <c r="F634" t="str">
        <f>"JP105182021B"</f>
        <v>JP105182021B</v>
      </c>
      <c r="G634" s="3">
        <v>250</v>
      </c>
      <c r="H634" t="str">
        <f>"JP105182021B"</f>
        <v>JP105182021B</v>
      </c>
    </row>
    <row r="635" spans="1:8" x14ac:dyDescent="0.25">
      <c r="E635" t="str">
        <f>"202110146478"</f>
        <v>202110146478</v>
      </c>
      <c r="F635" t="str">
        <f>"57 445"</f>
        <v>57 445</v>
      </c>
      <c r="G635" s="3">
        <v>250</v>
      </c>
      <c r="H635" t="str">
        <f>"57 445"</f>
        <v>57 445</v>
      </c>
    </row>
    <row r="636" spans="1:8" x14ac:dyDescent="0.25">
      <c r="E636" t="str">
        <f>"202110146479"</f>
        <v>202110146479</v>
      </c>
      <c r="F636" t="str">
        <f>"57 369"</f>
        <v>57 369</v>
      </c>
      <c r="G636" s="3">
        <v>250</v>
      </c>
      <c r="H636" t="str">
        <f>"57 369"</f>
        <v>57 369</v>
      </c>
    </row>
    <row r="637" spans="1:8" x14ac:dyDescent="0.25">
      <c r="A637" t="s">
        <v>160</v>
      </c>
      <c r="B637">
        <v>5233</v>
      </c>
      <c r="C637" s="3">
        <v>2100</v>
      </c>
      <c r="D637" s="4">
        <v>44482</v>
      </c>
      <c r="E637" t="str">
        <f>"202109305935"</f>
        <v>202109305935</v>
      </c>
      <c r="F637" t="str">
        <f>"4051021-1"</f>
        <v>4051021-1</v>
      </c>
      <c r="G637" s="3">
        <v>250</v>
      </c>
      <c r="H637" t="str">
        <f>"4051021-1"</f>
        <v>4051021-1</v>
      </c>
    </row>
    <row r="638" spans="1:8" x14ac:dyDescent="0.25">
      <c r="E638" t="str">
        <f>"202109305936"</f>
        <v>202109305936</v>
      </c>
      <c r="F638" t="str">
        <f>"SC-2021-0814"</f>
        <v>SC-2021-0814</v>
      </c>
      <c r="G638" s="3">
        <v>250</v>
      </c>
      <c r="H638" t="str">
        <f>"SC-2021-0814"</f>
        <v>SC-2021-0814</v>
      </c>
    </row>
    <row r="639" spans="1:8" x14ac:dyDescent="0.25">
      <c r="E639" t="str">
        <f>"202109305937"</f>
        <v>202109305937</v>
      </c>
      <c r="F639" t="str">
        <f>"02-0729-3"</f>
        <v>02-0729-3</v>
      </c>
      <c r="G639" s="3">
        <v>250</v>
      </c>
      <c r="H639" t="str">
        <f>"02-0729-3"</f>
        <v>02-0729-3</v>
      </c>
    </row>
    <row r="640" spans="1:8" x14ac:dyDescent="0.25">
      <c r="E640" t="str">
        <f>"202109305938"</f>
        <v>202109305938</v>
      </c>
      <c r="F640" t="str">
        <f>"02-0722-5"</f>
        <v>02-0722-5</v>
      </c>
      <c r="G640" s="3">
        <v>250</v>
      </c>
      <c r="H640" t="str">
        <f>"02-0722-5"</f>
        <v>02-0722-5</v>
      </c>
    </row>
    <row r="641" spans="1:8" x14ac:dyDescent="0.25">
      <c r="E641" t="str">
        <f>"202110056055"</f>
        <v>202110056055</v>
      </c>
      <c r="F641" t="str">
        <f>"423-8086"</f>
        <v>423-8086</v>
      </c>
      <c r="G641" s="3">
        <v>100</v>
      </c>
      <c r="H641" t="str">
        <f>"423-8086"</f>
        <v>423-8086</v>
      </c>
    </row>
    <row r="642" spans="1:8" x14ac:dyDescent="0.25">
      <c r="E642" t="str">
        <f>"202110056056"</f>
        <v>202110056056</v>
      </c>
      <c r="F642" t="str">
        <f>"17338"</f>
        <v>17338</v>
      </c>
      <c r="G642" s="3">
        <v>400</v>
      </c>
      <c r="H642" t="str">
        <f>"17338"</f>
        <v>17338</v>
      </c>
    </row>
    <row r="643" spans="1:8" x14ac:dyDescent="0.25">
      <c r="E643" t="str">
        <f>"202110056057"</f>
        <v>202110056057</v>
      </c>
      <c r="F643" t="str">
        <f>"02-0729-1"</f>
        <v>02-0729-1</v>
      </c>
      <c r="G643" s="3">
        <v>600</v>
      </c>
      <c r="H643" t="str">
        <f>"02-0729-1"</f>
        <v>02-0729-1</v>
      </c>
    </row>
    <row r="644" spans="1:8" x14ac:dyDescent="0.25">
      <c r="A644" t="s">
        <v>160</v>
      </c>
      <c r="B644">
        <v>5310</v>
      </c>
      <c r="C644" s="3">
        <v>500</v>
      </c>
      <c r="D644" s="4">
        <v>44495</v>
      </c>
      <c r="E644" t="str">
        <f>"202110146483"</f>
        <v>202110146483</v>
      </c>
      <c r="F644" t="str">
        <f>"305142020F"</f>
        <v>305142020F</v>
      </c>
      <c r="G644" s="3">
        <v>250</v>
      </c>
      <c r="H644" t="str">
        <f>"305142020F"</f>
        <v>305142020F</v>
      </c>
    </row>
    <row r="645" spans="1:8" x14ac:dyDescent="0.25">
      <c r="E645" t="str">
        <f>"202110146484"</f>
        <v>202110146484</v>
      </c>
      <c r="F645" t="str">
        <f>"57592"</f>
        <v>57592</v>
      </c>
      <c r="G645" s="3">
        <v>250</v>
      </c>
      <c r="H645" t="str">
        <f>"57592"</f>
        <v>57592</v>
      </c>
    </row>
    <row r="646" spans="1:8" x14ac:dyDescent="0.25">
      <c r="A646" t="s">
        <v>161</v>
      </c>
      <c r="B646">
        <v>137260</v>
      </c>
      <c r="C646" s="3">
        <v>25</v>
      </c>
      <c r="D646" s="4">
        <v>44481</v>
      </c>
      <c r="E646" t="s">
        <v>162</v>
      </c>
      <c r="F646" s="3" t="str">
        <f>"RESTITUTION - JOHNY HOFFMAN"</f>
        <v>RESTITUTION - JOHNY HOFFMAN</v>
      </c>
      <c r="G646" s="3">
        <v>25</v>
      </c>
      <c r="H646" s="3" t="str">
        <f>"RESTITUTION - JOHNY HOFFMAN"</f>
        <v>RESTITUTION - JOHNY HOFFMAN</v>
      </c>
    </row>
    <row r="647" spans="1:8" x14ac:dyDescent="0.25">
      <c r="A647" t="s">
        <v>163</v>
      </c>
      <c r="B647">
        <v>137261</v>
      </c>
      <c r="C647" s="3">
        <v>300</v>
      </c>
      <c r="D647" s="4">
        <v>44481</v>
      </c>
      <c r="E647" t="str">
        <f>"1237"</f>
        <v>1237</v>
      </c>
      <c r="F647" t="str">
        <f>"INTERPRETATION/ESKEW"</f>
        <v>INTERPRETATION/ESKEW</v>
      </c>
      <c r="G647" s="3">
        <v>300</v>
      </c>
      <c r="H647" t="str">
        <f>"INTERPRETATION/ESKEW"</f>
        <v>INTERPRETATION/ESKEW</v>
      </c>
    </row>
    <row r="648" spans="1:8" x14ac:dyDescent="0.25">
      <c r="A648" t="s">
        <v>164</v>
      </c>
      <c r="B648">
        <v>137497</v>
      </c>
      <c r="C648" s="3">
        <v>198.25</v>
      </c>
      <c r="D648" s="4">
        <v>44494</v>
      </c>
      <c r="E648" t="str">
        <f>"2619"</f>
        <v>2619</v>
      </c>
      <c r="F648" t="str">
        <f>"CAR WINDOW REPAIR/PCT#3"</f>
        <v>CAR WINDOW REPAIR/PCT#3</v>
      </c>
      <c r="G648" s="3">
        <v>198.25</v>
      </c>
      <c r="H648" t="str">
        <f>"CAR WINDOW REPAIR/PCT#3"</f>
        <v>CAR WINDOW REPAIR/PCT#3</v>
      </c>
    </row>
    <row r="649" spans="1:8" x14ac:dyDescent="0.25">
      <c r="A649" t="s">
        <v>165</v>
      </c>
      <c r="B649">
        <v>137498</v>
      </c>
      <c r="C649" s="3">
        <v>345</v>
      </c>
      <c r="D649" s="4">
        <v>44494</v>
      </c>
      <c r="E649" t="str">
        <f>"533030"</f>
        <v>533030</v>
      </c>
      <c r="F649" t="str">
        <f>"TRASH P/U/PCT#1"</f>
        <v>TRASH P/U/PCT#1</v>
      </c>
      <c r="G649" s="3">
        <v>130</v>
      </c>
      <c r="H649" t="str">
        <f>"TRASH P/U/PCT#1"</f>
        <v>TRASH P/U/PCT#1</v>
      </c>
    </row>
    <row r="650" spans="1:8" x14ac:dyDescent="0.25">
      <c r="E650" t="str">
        <f>"533030 - 10/1"</f>
        <v>533030 - 10/1</v>
      </c>
      <c r="F650" t="str">
        <f>"TRASH P/U/PCT#1"</f>
        <v>TRASH P/U/PCT#1</v>
      </c>
      <c r="G650" s="3">
        <v>215</v>
      </c>
      <c r="H650" t="str">
        <f>"TRASH P/U/PCT#1"</f>
        <v>TRASH P/U/PCT#1</v>
      </c>
    </row>
    <row r="651" spans="1:8" x14ac:dyDescent="0.25">
      <c r="A651" t="s">
        <v>166</v>
      </c>
      <c r="B651">
        <v>5224</v>
      </c>
      <c r="C651" s="3">
        <v>2717</v>
      </c>
      <c r="D651" s="4">
        <v>44482</v>
      </c>
      <c r="E651" t="str">
        <f>"472"</f>
        <v>472</v>
      </c>
      <c r="F651" t="str">
        <f>"TOWER RENTAL"</f>
        <v>TOWER RENTAL</v>
      </c>
      <c r="G651" s="3">
        <v>2717</v>
      </c>
      <c r="H651" t="str">
        <f>"TOWER RENTAL"</f>
        <v>TOWER RENTAL</v>
      </c>
    </row>
    <row r="652" spans="1:8" x14ac:dyDescent="0.25">
      <c r="A652" t="s">
        <v>167</v>
      </c>
      <c r="B652">
        <v>5193</v>
      </c>
      <c r="C652" s="3">
        <v>48</v>
      </c>
      <c r="D652" s="4">
        <v>44482</v>
      </c>
      <c r="E652" t="str">
        <f>"202109305928"</f>
        <v>202109305928</v>
      </c>
      <c r="F652" t="str">
        <f>"REIMBURSE/KEVIN UNGER"</f>
        <v>REIMBURSE/KEVIN UNGER</v>
      </c>
      <c r="G652" s="3">
        <v>48</v>
      </c>
      <c r="H652" t="str">
        <f>"REIMBURSE/KEVIN UNGER"</f>
        <v>REIMBURSE/KEVIN UNGER</v>
      </c>
    </row>
    <row r="653" spans="1:8" x14ac:dyDescent="0.25">
      <c r="A653" t="s">
        <v>168</v>
      </c>
      <c r="B653">
        <v>137262</v>
      </c>
      <c r="C653" s="3">
        <v>437.1</v>
      </c>
      <c r="D653" s="4">
        <v>44481</v>
      </c>
      <c r="E653" t="str">
        <f>"277843"</f>
        <v>277843</v>
      </c>
      <c r="F653" t="str">
        <f>"ACCT#BASCO1/PCT#1"</f>
        <v>ACCT#BASCO1/PCT#1</v>
      </c>
      <c r="G653" s="3">
        <v>437.1</v>
      </c>
      <c r="H653" t="str">
        <f>"ACCT#BASCO1/PCT#1"</f>
        <v>ACCT#BASCO1/PCT#1</v>
      </c>
    </row>
    <row r="654" spans="1:8" x14ac:dyDescent="0.25">
      <c r="A654" t="s">
        <v>169</v>
      </c>
      <c r="B654">
        <v>5263</v>
      </c>
      <c r="C654" s="3">
        <v>1471.08</v>
      </c>
      <c r="D654" s="4">
        <v>44495</v>
      </c>
      <c r="E654" t="str">
        <f>"828895"</f>
        <v>828895</v>
      </c>
      <c r="F654" t="str">
        <f>"CUST#10222/CEDAR CREEK ANNEX"</f>
        <v>CUST#10222/CEDAR CREEK ANNEX</v>
      </c>
      <c r="G654" s="3">
        <v>1471.08</v>
      </c>
      <c r="H654" t="str">
        <f>"CUST#10222/CEDAR CREEK ANNEX"</f>
        <v>CUST#10222/CEDAR CREEK ANNEX</v>
      </c>
    </row>
    <row r="655" spans="1:8" x14ac:dyDescent="0.25">
      <c r="A655" t="s">
        <v>170</v>
      </c>
      <c r="B655">
        <v>5272</v>
      </c>
      <c r="C655" s="3">
        <v>1788</v>
      </c>
      <c r="D655" s="4">
        <v>44495</v>
      </c>
      <c r="E655" t="str">
        <f>"283114"</f>
        <v>283114</v>
      </c>
      <c r="F655" t="str">
        <f>"QRTRLY FIRE MONITORING/OCT-DEC"</f>
        <v>QRTRLY FIRE MONITORING/OCT-DEC</v>
      </c>
      <c r="G655" s="3">
        <v>99</v>
      </c>
      <c r="H655" t="str">
        <f>"QRTRLY FIRE MONITORING/OCT-DEC"</f>
        <v>QRTRLY FIRE MONITORING/OCT-DEC</v>
      </c>
    </row>
    <row r="656" spans="1:8" x14ac:dyDescent="0.25">
      <c r="E656" t="str">
        <f>"283117"</f>
        <v>283117</v>
      </c>
      <c r="F656" t="str">
        <f>"ANNUAL FIRE PROT MONT SVC"</f>
        <v>ANNUAL FIRE PROT MONT SVC</v>
      </c>
      <c r="G656" s="3">
        <v>720</v>
      </c>
      <c r="H656" t="str">
        <f>"ANNUAL FIRE PROT MONT SVC"</f>
        <v>ANNUAL FIRE PROT MONT SVC</v>
      </c>
    </row>
    <row r="657" spans="1:8" x14ac:dyDescent="0.25">
      <c r="E657" t="str">
        <f>"283247"</f>
        <v>283247</v>
      </c>
      <c r="F657" t="str">
        <f>"SEMI ANNUAL SUPPRESSION SYS"</f>
        <v>SEMI ANNUAL SUPPRESSION SYS</v>
      </c>
      <c r="G657" s="3">
        <v>489</v>
      </c>
      <c r="H657" t="str">
        <f>"SEMI ANNUAL SUPPRESSION SYS"</f>
        <v>SEMI ANNUAL SUPPRESSION SYS</v>
      </c>
    </row>
    <row r="658" spans="1:8" x14ac:dyDescent="0.25">
      <c r="E658" t="str">
        <f>"283278"</f>
        <v>283278</v>
      </c>
      <c r="F658" t="str">
        <f>"ANNUAL INSP FIRE ALARM SYSTEM"</f>
        <v>ANNUAL INSP FIRE ALARM SYSTEM</v>
      </c>
      <c r="G658" s="3">
        <v>480</v>
      </c>
      <c r="H658" t="str">
        <f>"ANNUAL INSP FIRE ALARM SYSTEM"</f>
        <v>ANNUAL INSP FIRE ALARM SYSTEM</v>
      </c>
    </row>
    <row r="659" spans="1:8" x14ac:dyDescent="0.25">
      <c r="A659" t="s">
        <v>171</v>
      </c>
      <c r="B659">
        <v>137263</v>
      </c>
      <c r="C659" s="3">
        <v>1226.6500000000001</v>
      </c>
      <c r="D659" s="4">
        <v>44481</v>
      </c>
      <c r="E659" t="str">
        <f>"202110056078"</f>
        <v>202110056078</v>
      </c>
      <c r="F659" t="str">
        <f>"ACCT#1800/ANIMAL SHELTER"</f>
        <v>ACCT#1800/ANIMAL SHELTER</v>
      </c>
      <c r="G659" s="3">
        <v>51.07</v>
      </c>
      <c r="H659" t="str">
        <f>"ACCT#1800/ANIMAL SHELTER"</f>
        <v>ACCT#1800/ANIMAL SHELTER</v>
      </c>
    </row>
    <row r="660" spans="1:8" x14ac:dyDescent="0.25">
      <c r="E660" t="str">
        <f>"202110056079"</f>
        <v>202110056079</v>
      </c>
      <c r="F660" t="str">
        <f>"ACCT#1590/ANIMAL SHELTER"</f>
        <v>ACCT#1590/ANIMAL SHELTER</v>
      </c>
      <c r="G660" s="3">
        <v>83.19</v>
      </c>
      <c r="H660" t="str">
        <f>"ACCT#1590/ANIMAL SHELTER"</f>
        <v>ACCT#1590/ANIMAL SHELTER</v>
      </c>
    </row>
    <row r="661" spans="1:8" x14ac:dyDescent="0.25">
      <c r="E661" t="str">
        <f>"202110066120"</f>
        <v>202110066120</v>
      </c>
      <c r="F661" t="str">
        <f>"ACCT#1162/FIRE MIT"</f>
        <v>ACCT#1162/FIRE MIT</v>
      </c>
      <c r="G661" s="3">
        <v>87.51</v>
      </c>
      <c r="H661" t="str">
        <f>"ACCT#1162/FIRE MIT"</f>
        <v>ACCT#1162/FIRE MIT</v>
      </c>
    </row>
    <row r="662" spans="1:8" x14ac:dyDescent="0.25">
      <c r="E662" t="str">
        <f>"202110066131"</f>
        <v>202110066131</v>
      </c>
      <c r="F662" t="str">
        <f>"ACCT#1645/WILDFIRE MITIGATION"</f>
        <v>ACCT#1645/WILDFIRE MITIGATION</v>
      </c>
      <c r="G662" s="3">
        <v>61.77</v>
      </c>
      <c r="H662" t="str">
        <f>"ACCT#1645/WILDFIRE MITIGATION"</f>
        <v>ACCT#1645/WILDFIRE MITIGATION</v>
      </c>
    </row>
    <row r="663" spans="1:8" x14ac:dyDescent="0.25">
      <c r="E663" t="str">
        <f>"216121053"</f>
        <v>216121053</v>
      </c>
      <c r="F663" t="str">
        <f>"ACCT$1650/PCT#1"</f>
        <v>ACCT$1650/PCT#1</v>
      </c>
      <c r="G663" s="3">
        <v>485.13</v>
      </c>
      <c r="H663" t="str">
        <f>"ACCT$1650/PCT#1"</f>
        <v>ACCT$1650/PCT#1</v>
      </c>
    </row>
    <row r="664" spans="1:8" x14ac:dyDescent="0.25">
      <c r="E664" t="str">
        <f>"216121056"</f>
        <v>216121056</v>
      </c>
      <c r="F664" t="str">
        <f>"ACCT#1700/PCT#2"</f>
        <v>ACCT#1700/PCT#2</v>
      </c>
      <c r="G664" s="3">
        <v>210.11</v>
      </c>
      <c r="H664" t="str">
        <f>"ACCT#1700/PCT#2"</f>
        <v>ACCT#1700/PCT#2</v>
      </c>
    </row>
    <row r="665" spans="1:8" x14ac:dyDescent="0.25">
      <c r="E665" t="str">
        <f>"216121067"</f>
        <v>216121067</v>
      </c>
      <c r="F665" t="str">
        <f>"ACCT#1750/PCT#3"</f>
        <v>ACCT#1750/PCT#3</v>
      </c>
      <c r="G665" s="3">
        <v>247.87</v>
      </c>
      <c r="H665" t="str">
        <f>"ACCT#1750/PCT#3"</f>
        <v>ACCT#1750/PCT#3</v>
      </c>
    </row>
    <row r="666" spans="1:8" x14ac:dyDescent="0.25">
      <c r="A666" t="s">
        <v>172</v>
      </c>
      <c r="B666">
        <v>5182</v>
      </c>
      <c r="C666" s="3">
        <v>3155.22</v>
      </c>
      <c r="D666" s="4">
        <v>44482</v>
      </c>
      <c r="E666" t="str">
        <f>"09228787"</f>
        <v>09228787</v>
      </c>
      <c r="F666" t="str">
        <f>"INV 09228787"</f>
        <v>INV 09228787</v>
      </c>
      <c r="G666" s="3">
        <v>1849.71</v>
      </c>
      <c r="H666" t="str">
        <f>"INV 09228787"</f>
        <v>INV 09228787</v>
      </c>
    </row>
    <row r="667" spans="1:8" x14ac:dyDescent="0.25">
      <c r="E667" t="str">
        <f>"09299897"</f>
        <v>09299897</v>
      </c>
      <c r="F667" t="str">
        <f>"INV 09299897"</f>
        <v>INV 09299897</v>
      </c>
      <c r="G667" s="3">
        <v>1305.51</v>
      </c>
      <c r="H667" t="str">
        <f>"INV 09299897"</f>
        <v>INV 09299897</v>
      </c>
    </row>
    <row r="668" spans="1:8" x14ac:dyDescent="0.25">
      <c r="A668" t="s">
        <v>172</v>
      </c>
      <c r="B668">
        <v>5261</v>
      </c>
      <c r="C668" s="3">
        <v>2241.44</v>
      </c>
      <c r="D668" s="4">
        <v>44495</v>
      </c>
      <c r="E668" t="str">
        <f>"10061154/10132363"</f>
        <v>10061154/10132363</v>
      </c>
      <c r="F668" t="str">
        <f>"INV 10061154  10132363"</f>
        <v>INV 10061154  10132363</v>
      </c>
      <c r="G668" s="3">
        <v>1031.0999999999999</v>
      </c>
      <c r="H668" t="str">
        <f>"INV 10061154"</f>
        <v>INV 10061154</v>
      </c>
    </row>
    <row r="669" spans="1:8" x14ac:dyDescent="0.25">
      <c r="E669" t="str">
        <f>""</f>
        <v/>
      </c>
      <c r="F669" t="str">
        <f>""</f>
        <v/>
      </c>
      <c r="G669" s="3">
        <v>1210.3399999999999</v>
      </c>
      <c r="H669" t="str">
        <f>"INV 10132363"</f>
        <v>INV 10132363</v>
      </c>
    </row>
    <row r="670" spans="1:8" x14ac:dyDescent="0.25">
      <c r="A670" t="s">
        <v>173</v>
      </c>
      <c r="B670">
        <v>137499</v>
      </c>
      <c r="C670" s="3">
        <v>33997.58</v>
      </c>
      <c r="D670" s="4">
        <v>44494</v>
      </c>
      <c r="E670" t="str">
        <f>"202110196639"</f>
        <v>202110196639</v>
      </c>
      <c r="F670" t="str">
        <f>"LAKE COUNTRY CHEVROLET  INC."</f>
        <v>LAKE COUNTRY CHEVROLET  INC.</v>
      </c>
      <c r="G670" s="3">
        <v>33697.58</v>
      </c>
      <c r="H670" t="str">
        <f>"2021 Tahoe"</f>
        <v>2021 Tahoe</v>
      </c>
    </row>
    <row r="671" spans="1:8" x14ac:dyDescent="0.25">
      <c r="E671" t="str">
        <f>""</f>
        <v/>
      </c>
      <c r="F671" t="str">
        <f>""</f>
        <v/>
      </c>
      <c r="G671" s="3">
        <v>300</v>
      </c>
      <c r="H671" t="str">
        <f>"Goodbuy Fee"</f>
        <v>Goodbuy Fee</v>
      </c>
    </row>
    <row r="672" spans="1:8" x14ac:dyDescent="0.25">
      <c r="A672" t="s">
        <v>174</v>
      </c>
      <c r="B672">
        <v>137500</v>
      </c>
      <c r="C672" s="3">
        <v>970</v>
      </c>
      <c r="D672" s="4">
        <v>44494</v>
      </c>
      <c r="E672" t="str">
        <f>"389249"</f>
        <v>389249</v>
      </c>
      <c r="F672" t="str">
        <f>"CUST#BASCOU/PCT#1"</f>
        <v>CUST#BASCOU/PCT#1</v>
      </c>
      <c r="G672" s="3">
        <v>970</v>
      </c>
      <c r="H672" t="str">
        <f>"CUST#BASCOU/PCT#1"</f>
        <v>CUST#BASCOU/PCT#1</v>
      </c>
    </row>
    <row r="673" spans="1:8" x14ac:dyDescent="0.25">
      <c r="A673" t="s">
        <v>175</v>
      </c>
      <c r="B673">
        <v>137264</v>
      </c>
      <c r="C673" s="3">
        <v>295</v>
      </c>
      <c r="D673" s="4">
        <v>44481</v>
      </c>
      <c r="E673" t="str">
        <f>"202110066134"</f>
        <v>202110066134</v>
      </c>
      <c r="F673" t="str">
        <f>"INV 218598"</f>
        <v>INV 218598</v>
      </c>
      <c r="G673" s="3">
        <v>295</v>
      </c>
      <c r="H673" t="str">
        <f>"INV 218598"</f>
        <v>INV 218598</v>
      </c>
    </row>
    <row r="674" spans="1:8" x14ac:dyDescent="0.25">
      <c r="A674" t="s">
        <v>176</v>
      </c>
      <c r="B674">
        <v>137501</v>
      </c>
      <c r="C674" s="3">
        <v>280</v>
      </c>
      <c r="D674" s="4">
        <v>44494</v>
      </c>
      <c r="E674" t="str">
        <f>"202110156555"</f>
        <v>202110156555</v>
      </c>
      <c r="F674" t="str">
        <f>"TIRE SVCS/PCT#4"</f>
        <v>TIRE SVCS/PCT#4</v>
      </c>
      <c r="G674" s="3">
        <v>280</v>
      </c>
      <c r="H674" t="str">
        <f>"TIRE SVCS/PCT#4"</f>
        <v>TIRE SVCS/PCT#4</v>
      </c>
    </row>
    <row r="675" spans="1:8" x14ac:dyDescent="0.25">
      <c r="A675" t="s">
        <v>177</v>
      </c>
      <c r="B675">
        <v>137265</v>
      </c>
      <c r="C675" s="3">
        <v>50</v>
      </c>
      <c r="D675" s="4">
        <v>44481</v>
      </c>
      <c r="E675" t="str">
        <f>"1394645-20210930"</f>
        <v>1394645-20210930</v>
      </c>
      <c r="F675" t="str">
        <f>"BILL ID:1394645/COUNTY CLERK"</f>
        <v>BILL ID:1394645/COUNTY CLERK</v>
      </c>
      <c r="G675" s="3">
        <v>50</v>
      </c>
      <c r="H675" t="str">
        <f>"BILL ID:1394645/COUNTY CLERK"</f>
        <v>BILL ID:1394645/COUNTY CLERK</v>
      </c>
    </row>
    <row r="676" spans="1:8" x14ac:dyDescent="0.25">
      <c r="A676" t="s">
        <v>177</v>
      </c>
      <c r="B676">
        <v>137502</v>
      </c>
      <c r="C676" s="3">
        <v>517.6</v>
      </c>
      <c r="D676" s="4">
        <v>44494</v>
      </c>
      <c r="E676" t="str">
        <f>"1361725-20210930"</f>
        <v>1361725-20210930</v>
      </c>
      <c r="F676" t="str">
        <f>"BILL ID:1361725/INDIGENT HEALT"</f>
        <v>BILL ID:1361725/INDIGENT HEALT</v>
      </c>
      <c r="G676" s="3">
        <v>150</v>
      </c>
      <c r="H676" t="str">
        <f>"BILL ID:1361725/INDIGENT HEALT"</f>
        <v>BILL ID:1361725/INDIGENT HEALT</v>
      </c>
    </row>
    <row r="677" spans="1:8" x14ac:dyDescent="0.25">
      <c r="E677" t="str">
        <f>"1420944-20210930"</f>
        <v>1420944-20210930</v>
      </c>
      <c r="F677" t="str">
        <f>"BILL ID:1420944/SHERIFF'S OFF"</f>
        <v>BILL ID:1420944/SHERIFF'S OFF</v>
      </c>
      <c r="G677" s="3">
        <v>317.60000000000002</v>
      </c>
      <c r="H677" t="str">
        <f>"BILL ID:1420944/SHERIFF'S OFF"</f>
        <v>BILL ID:1420944/SHERIFF'S OFF</v>
      </c>
    </row>
    <row r="678" spans="1:8" x14ac:dyDescent="0.25">
      <c r="E678" t="str">
        <f>"1489870-20210930"</f>
        <v>1489870-20210930</v>
      </c>
      <c r="F678" t="str">
        <f>"BILL ID:1489870/DISTRICT CLERK"</f>
        <v>BILL ID:1489870/DISTRICT CLERK</v>
      </c>
      <c r="G678" s="3">
        <v>50</v>
      </c>
      <c r="H678" t="str">
        <f>"BILL ID:1489870/DISTRICT CLERK"</f>
        <v>BILL ID:1489870/DISTRICT CLERK</v>
      </c>
    </row>
    <row r="679" spans="1:8" x14ac:dyDescent="0.25">
      <c r="A679" t="s">
        <v>178</v>
      </c>
      <c r="B679">
        <v>137503</v>
      </c>
      <c r="C679" s="3">
        <v>937.12</v>
      </c>
      <c r="D679" s="4">
        <v>44494</v>
      </c>
      <c r="E679" t="str">
        <f>"202110196607"</f>
        <v>202110196607</v>
      </c>
      <c r="F679" t="str">
        <f>"TRAVEL EXPENSE REIMBURSEMENT"</f>
        <v>TRAVEL EXPENSE REIMBURSEMENT</v>
      </c>
      <c r="G679" s="3">
        <v>937.12</v>
      </c>
      <c r="H679" t="str">
        <f>"TRAVEL EXPENSE REIMBURSEMENT"</f>
        <v>TRAVEL EXPENSE REIMBURSEMENT</v>
      </c>
    </row>
    <row r="680" spans="1:8" x14ac:dyDescent="0.25">
      <c r="A680" t="s">
        <v>179</v>
      </c>
      <c r="B680">
        <v>5201</v>
      </c>
      <c r="C680" s="3">
        <v>6365.62</v>
      </c>
      <c r="D680" s="4">
        <v>44482</v>
      </c>
      <c r="E680" t="str">
        <f>"202110056077"</f>
        <v>202110056077</v>
      </c>
      <c r="F680" t="str">
        <f>"GRANT REIMBURSEMENT"</f>
        <v>GRANT REIMBURSEMENT</v>
      </c>
      <c r="G680" s="3">
        <v>6365.62</v>
      </c>
      <c r="H680" t="str">
        <f>"GRANT REIMBURSEMENT"</f>
        <v>GRANT REIMBURSEMENT</v>
      </c>
    </row>
    <row r="681" spans="1:8" x14ac:dyDescent="0.25">
      <c r="A681" t="s">
        <v>179</v>
      </c>
      <c r="B681">
        <v>5280</v>
      </c>
      <c r="C681" s="3">
        <v>885.6</v>
      </c>
      <c r="D681" s="4">
        <v>44495</v>
      </c>
      <c r="E681" t="str">
        <f>"202110196619"</f>
        <v>202110196619</v>
      </c>
      <c r="F681" t="str">
        <f>"INDIGENT HEALTH"</f>
        <v>INDIGENT HEALTH</v>
      </c>
      <c r="G681" s="3">
        <v>307.93</v>
      </c>
      <c r="H681" t="str">
        <f>"INDIGENT HEALTH"</f>
        <v>INDIGENT HEALTH</v>
      </c>
    </row>
    <row r="682" spans="1:8" x14ac:dyDescent="0.25">
      <c r="E682" t="str">
        <f>""</f>
        <v/>
      </c>
      <c r="F682" t="str">
        <f>""</f>
        <v/>
      </c>
      <c r="G682" s="3">
        <v>75.58</v>
      </c>
      <c r="H682" t="str">
        <f>"INDIGENT HEALTH"</f>
        <v>INDIGENT HEALTH</v>
      </c>
    </row>
    <row r="683" spans="1:8" x14ac:dyDescent="0.25">
      <c r="E683" t="str">
        <f>""</f>
        <v/>
      </c>
      <c r="F683" t="str">
        <f>""</f>
        <v/>
      </c>
      <c r="G683" s="3">
        <v>502.09</v>
      </c>
      <c r="H683" t="str">
        <f>"INDIGENT HEALTH"</f>
        <v>INDIGENT HEALTH</v>
      </c>
    </row>
    <row r="684" spans="1:8" x14ac:dyDescent="0.25">
      <c r="A684" t="s">
        <v>180</v>
      </c>
      <c r="B684">
        <v>5198</v>
      </c>
      <c r="C684" s="3">
        <v>5399</v>
      </c>
      <c r="D684" s="4">
        <v>44482</v>
      </c>
      <c r="E684" t="str">
        <f>"2021-1754"</f>
        <v>2021-1754</v>
      </c>
      <c r="F684" t="str">
        <f>"Invoice#2021-1754"</f>
        <v>Invoice#2021-1754</v>
      </c>
      <c r="G684" s="3">
        <v>2500</v>
      </c>
      <c r="H684" t="str">
        <f>"Invoice#2021-1754"</f>
        <v>Invoice#2021-1754</v>
      </c>
    </row>
    <row r="685" spans="1:8" x14ac:dyDescent="0.25">
      <c r="E685" t="str">
        <f>"591492/UNIT 119"</f>
        <v>591492/UNIT 119</v>
      </c>
      <c r="F685" t="str">
        <f>"INV 591492 / UNIT 119"</f>
        <v>INV 591492 / UNIT 119</v>
      </c>
      <c r="G685" s="3">
        <v>399</v>
      </c>
      <c r="H685" t="str">
        <f>"INV 591492 / UNIT 119"</f>
        <v>INV 591492 / UNIT 119</v>
      </c>
    </row>
    <row r="686" spans="1:8" x14ac:dyDescent="0.25">
      <c r="E686" t="str">
        <f>"7277-DEDUCTIB"</f>
        <v>7277-DEDUCTIB</v>
      </c>
      <c r="F686" t="str">
        <f>"UNIT 7277"</f>
        <v>UNIT 7277</v>
      </c>
      <c r="G686" s="3">
        <v>2500</v>
      </c>
      <c r="H686" t="str">
        <f>"UNIT 7277 - DEDUCTIB"</f>
        <v>UNIT 7277 - DEDUCTIB</v>
      </c>
    </row>
    <row r="687" spans="1:8" x14ac:dyDescent="0.25">
      <c r="A687" t="s">
        <v>181</v>
      </c>
      <c r="B687">
        <v>5205</v>
      </c>
      <c r="C687" s="3">
        <v>832</v>
      </c>
      <c r="D687" s="4">
        <v>44482</v>
      </c>
      <c r="E687" t="str">
        <f>"202110066103"</f>
        <v>202110066103</v>
      </c>
      <c r="F687" t="str">
        <f>"TRASH REMOVAL/LONNIE DAVIS JR"</f>
        <v>TRASH REMOVAL/LONNIE DAVIS JR</v>
      </c>
      <c r="G687" s="3">
        <v>520</v>
      </c>
      <c r="H687" t="str">
        <f>"TRASH REMOVAL/LONNIE DAVIS JR"</f>
        <v>TRASH REMOVAL/LONNIE DAVIS JR</v>
      </c>
    </row>
    <row r="688" spans="1:8" x14ac:dyDescent="0.25">
      <c r="E688" t="str">
        <f>"202110066105"</f>
        <v>202110066105</v>
      </c>
      <c r="F688" t="str">
        <f>"TRASH REMOVAL/LONNIE DAVIS JR"</f>
        <v>TRASH REMOVAL/LONNIE DAVIS JR</v>
      </c>
      <c r="G688" s="3">
        <v>312</v>
      </c>
      <c r="H688" t="str">
        <f>"TRASH REMOVAL/LONNIE DAVIS JR"</f>
        <v>TRASH REMOVAL/LONNIE DAVIS JR</v>
      </c>
    </row>
    <row r="689" spans="1:8" x14ac:dyDescent="0.25">
      <c r="A689" t="s">
        <v>181</v>
      </c>
      <c r="B689">
        <v>5284</v>
      </c>
      <c r="C689" s="3">
        <v>780</v>
      </c>
      <c r="D689" s="4">
        <v>44495</v>
      </c>
      <c r="E689" t="str">
        <f>"202110196609"</f>
        <v>202110196609</v>
      </c>
      <c r="F689" t="str">
        <f>"TRASH REMOVAL/101321-102321/P4"</f>
        <v>TRASH REMOVAL/101321-102321/P4</v>
      </c>
      <c r="G689" s="3">
        <v>780</v>
      </c>
      <c r="H689" t="str">
        <f>"TRASH REMOVAL/101321-102321/P4"</f>
        <v>TRASH REMOVAL/101321-102321/P4</v>
      </c>
    </row>
    <row r="690" spans="1:8" x14ac:dyDescent="0.25">
      <c r="A690" t="s">
        <v>182</v>
      </c>
      <c r="B690">
        <v>137504</v>
      </c>
      <c r="C690" s="3">
        <v>274</v>
      </c>
      <c r="D690" s="4">
        <v>44494</v>
      </c>
      <c r="E690" t="str">
        <f>"202110196640"</f>
        <v>202110196640</v>
      </c>
      <c r="F690" t="str">
        <f>"SEW PATCHES"</f>
        <v>SEW PATCHES</v>
      </c>
      <c r="G690" s="3">
        <v>274</v>
      </c>
      <c r="H690" t="str">
        <f>"SEW PATCHES"</f>
        <v>SEW PATCHES</v>
      </c>
    </row>
    <row r="691" spans="1:8" x14ac:dyDescent="0.25">
      <c r="A691" t="s">
        <v>183</v>
      </c>
      <c r="B691">
        <v>5309</v>
      </c>
      <c r="C691" s="3">
        <v>136</v>
      </c>
      <c r="D691" s="4">
        <v>44495</v>
      </c>
      <c r="E691" t="str">
        <f>"10-000617"</f>
        <v>10-000617</v>
      </c>
      <c r="F691" t="str">
        <f>"2015 FORD CAR WASH"</f>
        <v>2015 FORD CAR WASH</v>
      </c>
      <c r="G691" s="3">
        <v>26</v>
      </c>
      <c r="H691" t="str">
        <f>"2015 FORD CAR WASH"</f>
        <v>2015 FORD CAR WASH</v>
      </c>
    </row>
    <row r="692" spans="1:8" x14ac:dyDescent="0.25">
      <c r="E692" t="str">
        <f>"10-0129672/10-0130"</f>
        <v>10-0129672/10-0130</v>
      </c>
      <c r="F692" t="str">
        <f>"STATEMENT 10-000625"</f>
        <v>STATEMENT 10-000625</v>
      </c>
      <c r="G692" s="3">
        <v>30</v>
      </c>
      <c r="H692" t="str">
        <f>"INV 10-0129672"</f>
        <v>INV 10-0129672</v>
      </c>
    </row>
    <row r="693" spans="1:8" x14ac:dyDescent="0.25">
      <c r="E693" t="str">
        <f>""</f>
        <v/>
      </c>
      <c r="F693" t="str">
        <f>""</f>
        <v/>
      </c>
      <c r="G693" s="3">
        <v>50</v>
      </c>
      <c r="H693" t="str">
        <f>"INV 10-0130147"</f>
        <v>INV 10-0130147</v>
      </c>
    </row>
    <row r="694" spans="1:8" x14ac:dyDescent="0.25">
      <c r="E694" t="str">
        <f>""</f>
        <v/>
      </c>
      <c r="F694" t="str">
        <f>""</f>
        <v/>
      </c>
      <c r="G694" s="3">
        <v>30</v>
      </c>
      <c r="H694" t="str">
        <f>"INV 10-0130221"</f>
        <v>INV 10-0130221</v>
      </c>
    </row>
    <row r="695" spans="1:8" x14ac:dyDescent="0.25">
      <c r="A695" t="s">
        <v>184</v>
      </c>
      <c r="B695">
        <v>137266</v>
      </c>
      <c r="C695" s="3">
        <v>4990</v>
      </c>
      <c r="D695" s="4">
        <v>44481</v>
      </c>
      <c r="E695" t="str">
        <f>"202109305927"</f>
        <v>202109305927</v>
      </c>
      <c r="F695" t="str">
        <f>"CONCRETE DRIVEWAY REPAIR/GS"</f>
        <v>CONCRETE DRIVEWAY REPAIR/GS</v>
      </c>
      <c r="G695" s="3">
        <v>4990</v>
      </c>
      <c r="H695" t="str">
        <f>"CONCRETE DRIVEWAY REPAIR/GS"</f>
        <v>CONCRETE DRIVEWAY REPAIR/GS</v>
      </c>
    </row>
    <row r="696" spans="1:8" x14ac:dyDescent="0.25">
      <c r="A696" t="s">
        <v>185</v>
      </c>
      <c r="B696">
        <v>137267</v>
      </c>
      <c r="C696" s="3">
        <v>980.5</v>
      </c>
      <c r="D696" s="4">
        <v>44481</v>
      </c>
      <c r="E696" t="str">
        <f>"2973"</f>
        <v>2973</v>
      </c>
      <c r="F696" t="str">
        <f>"TICKET#2973"</f>
        <v>TICKET#2973</v>
      </c>
      <c r="G696" s="3">
        <v>387.5</v>
      </c>
      <c r="H696" t="str">
        <f>"TICKET#2973"</f>
        <v>TICKET#2973</v>
      </c>
    </row>
    <row r="697" spans="1:8" x14ac:dyDescent="0.25">
      <c r="E697" t="str">
        <f>"2995"</f>
        <v>2995</v>
      </c>
      <c r="F697" t="str">
        <f>"ACCT#COURTHOUSE"</f>
        <v>ACCT#COURTHOUSE</v>
      </c>
      <c r="G697" s="3">
        <v>342</v>
      </c>
      <c r="H697" t="str">
        <f>"ACCT#COURTHOUSE"</f>
        <v>ACCT#COURTHOUSE</v>
      </c>
    </row>
    <row r="698" spans="1:8" x14ac:dyDescent="0.25">
      <c r="E698" t="str">
        <f>"3142"</f>
        <v>3142</v>
      </c>
      <c r="F698" t="str">
        <f>"TICKET#3142"</f>
        <v>TICKET#3142</v>
      </c>
      <c r="G698" s="3">
        <v>126</v>
      </c>
      <c r="H698" t="str">
        <f>"TICKET#3142"</f>
        <v>TICKET#3142</v>
      </c>
    </row>
    <row r="699" spans="1:8" x14ac:dyDescent="0.25">
      <c r="E699" t="str">
        <f>"3146"</f>
        <v>3146</v>
      </c>
      <c r="F699" t="str">
        <f>"TICKET#3146"</f>
        <v>TICKET#3146</v>
      </c>
      <c r="G699" s="3">
        <v>125</v>
      </c>
      <c r="H699" t="str">
        <f>"TICKET#3146"</f>
        <v>TICKET#3146</v>
      </c>
    </row>
    <row r="700" spans="1:8" x14ac:dyDescent="0.25">
      <c r="A700" t="s">
        <v>186</v>
      </c>
      <c r="B700">
        <v>137505</v>
      </c>
      <c r="C700" s="3">
        <v>4800</v>
      </c>
      <c r="D700" s="4">
        <v>44494</v>
      </c>
      <c r="E700" t="str">
        <f>"MANXT0000127"</f>
        <v>MANXT0000127</v>
      </c>
      <c r="F700" t="str">
        <f>"TECH REFRESH SERVER/COUNTY CLK"</f>
        <v>TECH REFRESH SERVER/COUNTY CLK</v>
      </c>
      <c r="G700" s="3">
        <v>4800</v>
      </c>
      <c r="H700" t="str">
        <f>"TECH REFRESH SERVER/COUNTY CLK"</f>
        <v>TECH REFRESH SERVER/COUNTY CLK</v>
      </c>
    </row>
    <row r="701" spans="1:8" x14ac:dyDescent="0.25">
      <c r="A701" t="s">
        <v>187</v>
      </c>
      <c r="B701">
        <v>5273</v>
      </c>
      <c r="C701" s="3">
        <v>345.92</v>
      </c>
      <c r="D701" s="4">
        <v>44495</v>
      </c>
      <c r="E701" t="str">
        <f>"202110146491"</f>
        <v>202110146491</v>
      </c>
      <c r="F701" t="str">
        <f>"MILEAGE REIMBURSEMENT"</f>
        <v>MILEAGE REIMBURSEMENT</v>
      </c>
      <c r="G701" s="3">
        <v>345.92</v>
      </c>
      <c r="H701" t="str">
        <f>"MILEAGE REIMBURSEMENT"</f>
        <v>MILEAGE REIMBURSEMENT</v>
      </c>
    </row>
    <row r="702" spans="1:8" x14ac:dyDescent="0.25">
      <c r="A702" t="s">
        <v>188</v>
      </c>
      <c r="B702">
        <v>137268</v>
      </c>
      <c r="C702" s="3">
        <v>445</v>
      </c>
      <c r="D702" s="4">
        <v>44481</v>
      </c>
      <c r="E702" t="str">
        <f>"202110045971"</f>
        <v>202110045971</v>
      </c>
      <c r="F702" t="str">
        <f>"REIMBURSE/MARIO GINTELLA"</f>
        <v>REIMBURSE/MARIO GINTELLA</v>
      </c>
      <c r="G702" s="3">
        <v>445</v>
      </c>
      <c r="H702" t="str">
        <f>"REIMBURSE/MARIO GINTELLA"</f>
        <v>REIMBURSE/MARIO GINTELLA</v>
      </c>
    </row>
    <row r="703" spans="1:8" x14ac:dyDescent="0.25">
      <c r="A703" t="s">
        <v>189</v>
      </c>
      <c r="B703">
        <v>5202</v>
      </c>
      <c r="C703" s="3">
        <v>70</v>
      </c>
      <c r="D703" s="4">
        <v>44482</v>
      </c>
      <c r="E703" t="str">
        <f>"202110045980"</f>
        <v>202110045980</v>
      </c>
      <c r="F703" t="str">
        <f>"REIMBURSE/MARK MEUTH"</f>
        <v>REIMBURSE/MARK MEUTH</v>
      </c>
      <c r="G703" s="3">
        <v>70</v>
      </c>
      <c r="H703" t="str">
        <f>"REIMBURSE/MARK MEUTH"</f>
        <v>REIMBURSE/MARK MEUTH</v>
      </c>
    </row>
    <row r="704" spans="1:8" x14ac:dyDescent="0.25">
      <c r="A704" t="s">
        <v>190</v>
      </c>
      <c r="B704">
        <v>137506</v>
      </c>
      <c r="C704" s="3">
        <v>306.33999999999997</v>
      </c>
      <c r="D704" s="4">
        <v>44494</v>
      </c>
      <c r="E704" t="str">
        <f>"202110196620"</f>
        <v>202110196620</v>
      </c>
      <c r="F704" t="str">
        <f>"INDIGENT HEALTH"</f>
        <v>INDIGENT HEALTH</v>
      </c>
      <c r="G704" s="3">
        <v>254.14</v>
      </c>
      <c r="H704" t="str">
        <f>"INDIGENT HEALTH"</f>
        <v>INDIGENT HEALTH</v>
      </c>
    </row>
    <row r="705" spans="1:8" x14ac:dyDescent="0.25">
      <c r="E705" t="str">
        <f>""</f>
        <v/>
      </c>
      <c r="F705" t="str">
        <f>""</f>
        <v/>
      </c>
      <c r="G705" s="3">
        <v>52.2</v>
      </c>
      <c r="H705" t="str">
        <f>"INDIGENT HEALTH"</f>
        <v>INDIGENT HEALTH</v>
      </c>
    </row>
    <row r="706" spans="1:8" x14ac:dyDescent="0.25">
      <c r="A706" t="s">
        <v>191</v>
      </c>
      <c r="B706">
        <v>137507</v>
      </c>
      <c r="C706" s="3">
        <v>1407.69</v>
      </c>
      <c r="D706" s="4">
        <v>44494</v>
      </c>
      <c r="E706" t="str">
        <f>"INV001974058/4309"</f>
        <v>INV001974058/4309</v>
      </c>
      <c r="F706" t="str">
        <f>"INV001974058  INV00197430"</f>
        <v>INV001974058  INV00197430</v>
      </c>
      <c r="G706" s="3">
        <v>1383.05</v>
      </c>
      <c r="H706" t="str">
        <f>"INV001974058"</f>
        <v>INV001974058</v>
      </c>
    </row>
    <row r="707" spans="1:8" x14ac:dyDescent="0.25">
      <c r="E707" t="str">
        <f>""</f>
        <v/>
      </c>
      <c r="F707" t="str">
        <f>""</f>
        <v/>
      </c>
      <c r="G707" s="3">
        <v>24.64</v>
      </c>
      <c r="H707" t="str">
        <f>"INV001974309"</f>
        <v>INV001974309</v>
      </c>
    </row>
    <row r="708" spans="1:8" x14ac:dyDescent="0.25">
      <c r="A708" t="s">
        <v>192</v>
      </c>
      <c r="B708">
        <v>5196</v>
      </c>
      <c r="C708" s="3">
        <v>6818.75</v>
      </c>
      <c r="D708" s="4">
        <v>44482</v>
      </c>
      <c r="E708" t="str">
        <f>"202110056026"</f>
        <v>202110056026</v>
      </c>
      <c r="F708" t="str">
        <f>"20-230056"</f>
        <v>20-230056</v>
      </c>
      <c r="G708" s="3">
        <v>5243.75</v>
      </c>
      <c r="H708" t="str">
        <f>"20-230056"</f>
        <v>20-230056</v>
      </c>
    </row>
    <row r="709" spans="1:8" x14ac:dyDescent="0.25">
      <c r="E709" t="str">
        <f>"202110056027"</f>
        <v>202110056027</v>
      </c>
      <c r="F709" t="str">
        <f>"17-18443"</f>
        <v>17-18443</v>
      </c>
      <c r="G709" s="3">
        <v>1325</v>
      </c>
      <c r="H709" t="str">
        <f>"17-18443"</f>
        <v>17-18443</v>
      </c>
    </row>
    <row r="710" spans="1:8" x14ac:dyDescent="0.25">
      <c r="E710" t="str">
        <f>"202110056073"</f>
        <v>202110056073</v>
      </c>
      <c r="F710" t="str">
        <f>"J-3232"</f>
        <v>J-3232</v>
      </c>
      <c r="G710" s="3">
        <v>250</v>
      </c>
      <c r="H710" t="str">
        <f>"J-3232"</f>
        <v>J-3232</v>
      </c>
    </row>
    <row r="711" spans="1:8" x14ac:dyDescent="0.25">
      <c r="A711" t="s">
        <v>192</v>
      </c>
      <c r="B711">
        <v>5275</v>
      </c>
      <c r="C711" s="3">
        <v>750</v>
      </c>
      <c r="D711" s="4">
        <v>44495</v>
      </c>
      <c r="E711" t="str">
        <f>"202110146463"</f>
        <v>202110146463</v>
      </c>
      <c r="F711" t="str">
        <f>"57 828"</f>
        <v>57 828</v>
      </c>
      <c r="G711" s="3">
        <v>250</v>
      </c>
      <c r="H711" t="str">
        <f>"57 828"</f>
        <v>57 828</v>
      </c>
    </row>
    <row r="712" spans="1:8" x14ac:dyDescent="0.25">
      <c r="E712" t="str">
        <f>"202110146464"</f>
        <v>202110146464</v>
      </c>
      <c r="F712" t="str">
        <f>"57 838"</f>
        <v>57 838</v>
      </c>
      <c r="G712" s="3">
        <v>250</v>
      </c>
      <c r="H712" t="str">
        <f>"57 838"</f>
        <v>57 838</v>
      </c>
    </row>
    <row r="713" spans="1:8" x14ac:dyDescent="0.25">
      <c r="E713" t="str">
        <f>"202110186590"</f>
        <v>202110186590</v>
      </c>
      <c r="F713" t="str">
        <f>"308132019A  925 354 0583 A001"</f>
        <v>308132019A  925 354 0583 A001</v>
      </c>
      <c r="G713" s="3">
        <v>125</v>
      </c>
      <c r="H713" t="str">
        <f>"308132019A  925 354 0583 A001"</f>
        <v>308132019A  925 354 0583 A001</v>
      </c>
    </row>
    <row r="714" spans="1:8" x14ac:dyDescent="0.25">
      <c r="E714" t="str">
        <f>"202110186591"</f>
        <v>202110186591</v>
      </c>
      <c r="F714" t="str">
        <f>"JP1 08012019E   925 353 8961 A"</f>
        <v>JP1 08012019E   925 353 8961 A</v>
      </c>
      <c r="G714" s="3">
        <v>125</v>
      </c>
      <c r="H714" t="str">
        <f>"JP1 08012019E   925 353 8961 A"</f>
        <v>JP1 08012019E   925 353 8961 A</v>
      </c>
    </row>
    <row r="715" spans="1:8" x14ac:dyDescent="0.25">
      <c r="A715" t="s">
        <v>193</v>
      </c>
      <c r="B715">
        <v>137269</v>
      </c>
      <c r="C715" s="3">
        <v>4951.5</v>
      </c>
      <c r="D715" s="4">
        <v>44481</v>
      </c>
      <c r="E715" t="str">
        <f>"202110066124"</f>
        <v>202110066124</v>
      </c>
      <c r="F715" t="str">
        <f>"Bags"</f>
        <v>Bags</v>
      </c>
      <c r="G715" s="3">
        <v>4951.5</v>
      </c>
      <c r="H715" t="str">
        <f>"INV"</f>
        <v>INV</v>
      </c>
    </row>
    <row r="716" spans="1:8" x14ac:dyDescent="0.25">
      <c r="A716" t="s">
        <v>194</v>
      </c>
      <c r="B716">
        <v>137508</v>
      </c>
      <c r="C716" s="3">
        <v>369.1</v>
      </c>
      <c r="D716" s="4">
        <v>44494</v>
      </c>
      <c r="E716" t="str">
        <f>"0024317483"</f>
        <v>0024317483</v>
      </c>
      <c r="F716" t="str">
        <f>"ACCT#41472/RB1"</f>
        <v>ACCT#41472/RB1</v>
      </c>
      <c r="G716" s="3">
        <v>32.729999999999997</v>
      </c>
      <c r="H716" t="str">
        <f>"ACCT#41472/RB1"</f>
        <v>ACCT#41472/RB1</v>
      </c>
    </row>
    <row r="717" spans="1:8" x14ac:dyDescent="0.25">
      <c r="E717" t="str">
        <f>"0024317546"</f>
        <v>0024317546</v>
      </c>
      <c r="F717" t="str">
        <f>"ACCT#45057/PCT#4"</f>
        <v>ACCT#45057/PCT#4</v>
      </c>
      <c r="G717" s="3">
        <v>60.73</v>
      </c>
      <c r="H717" t="str">
        <f>"ACCT#45057/PCT#4"</f>
        <v>ACCT#45057/PCT#4</v>
      </c>
    </row>
    <row r="718" spans="1:8" x14ac:dyDescent="0.25">
      <c r="E718" t="str">
        <f>"0024317591"</f>
        <v>0024317591</v>
      </c>
      <c r="F718" t="str">
        <f>"INV 0024317591"</f>
        <v>INV 0024317591</v>
      </c>
      <c r="G718" s="3">
        <v>65.64</v>
      </c>
      <c r="H718" t="str">
        <f>"INV 0024317591"</f>
        <v>INV 0024317591</v>
      </c>
    </row>
    <row r="719" spans="1:8" x14ac:dyDescent="0.25">
      <c r="E719" t="str">
        <f>"0024317867"</f>
        <v>0024317867</v>
      </c>
      <c r="F719" t="str">
        <f>"ACCT #S9549 RB1"</f>
        <v>ACCT #S9549 RB1</v>
      </c>
      <c r="G719" s="3">
        <v>210</v>
      </c>
      <c r="H719" t="str">
        <f>"ACCT #S9549 RB1"</f>
        <v>ACCT #S9549 RB1</v>
      </c>
    </row>
    <row r="720" spans="1:8" x14ac:dyDescent="0.25">
      <c r="A720" t="s">
        <v>195</v>
      </c>
      <c r="B720">
        <v>5225</v>
      </c>
      <c r="C720" s="3">
        <v>1259.8</v>
      </c>
      <c r="D720" s="4">
        <v>44482</v>
      </c>
      <c r="E720" t="str">
        <f>"613451"</f>
        <v>613451</v>
      </c>
      <c r="F720" t="str">
        <f>"ACCT#031889/PCT#1"</f>
        <v>ACCT#031889/PCT#1</v>
      </c>
      <c r="G720" s="3">
        <v>1222.8499999999999</v>
      </c>
      <c r="H720" t="str">
        <f>"ACCT#031889/PCT#1"</f>
        <v>ACCT#031889/PCT#1</v>
      </c>
    </row>
    <row r="721" spans="1:8" x14ac:dyDescent="0.25">
      <c r="E721" t="str">
        <f>"613456"</f>
        <v>613456</v>
      </c>
      <c r="F721" t="str">
        <f>"ACCT#31308/PCT#1"</f>
        <v>ACCT#31308/PCT#1</v>
      </c>
      <c r="G721" s="3">
        <v>36.950000000000003</v>
      </c>
      <c r="H721" t="str">
        <f>"ACCT#31308/PCT#1"</f>
        <v>ACCT#31308/PCT#1</v>
      </c>
    </row>
    <row r="722" spans="1:8" x14ac:dyDescent="0.25">
      <c r="A722" t="s">
        <v>196</v>
      </c>
      <c r="B722">
        <v>137270</v>
      </c>
      <c r="C722" s="3">
        <v>29667.5</v>
      </c>
      <c r="D722" s="4">
        <v>44481</v>
      </c>
      <c r="E722" t="str">
        <f>"13139"</f>
        <v>13139</v>
      </c>
      <c r="F722" t="str">
        <f>"ABST FEE  08/27/2021"</f>
        <v>ABST FEE  08/27/2021</v>
      </c>
      <c r="G722" s="3">
        <v>225</v>
      </c>
      <c r="H722" t="str">
        <f>"ABST FEE  08/27/2021"</f>
        <v>ABST FEE  08/27/2021</v>
      </c>
    </row>
    <row r="723" spans="1:8" x14ac:dyDescent="0.25">
      <c r="E723" t="str">
        <f>"13374"</f>
        <v>13374</v>
      </c>
      <c r="F723" t="str">
        <f>"ABST FEE-$225/SERVICE FEE-$55"</f>
        <v>ABST FEE-$225/SERVICE FEE-$55</v>
      </c>
      <c r="G723" s="3">
        <v>280</v>
      </c>
      <c r="H723" t="str">
        <f>"ABST FEE-$225/SERVICE FEE-$55"</f>
        <v>ABST FEE-$225/SERVICE FEE-$55</v>
      </c>
    </row>
    <row r="724" spans="1:8" x14ac:dyDescent="0.25">
      <c r="E724" t="str">
        <f>"13489"</f>
        <v>13489</v>
      </c>
      <c r="F724" t="str">
        <f>"ABST FEE 08/17/2021"</f>
        <v>ABST FEE 08/17/2021</v>
      </c>
      <c r="G724" s="3">
        <v>39</v>
      </c>
      <c r="H724" t="str">
        <f>"ABST FEE 08/17/2021"</f>
        <v>ABST FEE 08/17/2021</v>
      </c>
    </row>
    <row r="725" spans="1:8" x14ac:dyDescent="0.25">
      <c r="E725" t="str">
        <f>"13775"</f>
        <v>13775</v>
      </c>
      <c r="F725" t="str">
        <f>"ABST FEE 08/17/2021"</f>
        <v>ABST FEE 08/17/2021</v>
      </c>
      <c r="G725" s="3">
        <v>225</v>
      </c>
      <c r="H725" t="str">
        <f>"ABST FEE 08/17/2021"</f>
        <v>ABST FEE 08/17/2021</v>
      </c>
    </row>
    <row r="726" spans="1:8" x14ac:dyDescent="0.25">
      <c r="E726" t="str">
        <f>"202110056074"</f>
        <v>202110056074</v>
      </c>
      <c r="F726" t="str">
        <f>"COLLECTION OF DEL TAXES-SEP21"</f>
        <v>COLLECTION OF DEL TAXES-SEP21</v>
      </c>
      <c r="G726" s="3">
        <v>28898.5</v>
      </c>
      <c r="H726" t="str">
        <f>"COLLECTION OF DEL TAXES-SEP21"</f>
        <v>COLLECTION OF DEL TAXES-SEP21</v>
      </c>
    </row>
    <row r="727" spans="1:8" x14ac:dyDescent="0.25">
      <c r="A727" t="s">
        <v>196</v>
      </c>
      <c r="B727">
        <v>137509</v>
      </c>
      <c r="C727" s="3">
        <v>1034</v>
      </c>
      <c r="D727" s="4">
        <v>44494</v>
      </c>
      <c r="E727" t="str">
        <f>"12456"</f>
        <v>12456</v>
      </c>
      <c r="F727" t="str">
        <f t="shared" ref="F727:F732" si="11">"ABST FEE"</f>
        <v>ABST FEE</v>
      </c>
      <c r="G727" s="3">
        <v>163</v>
      </c>
      <c r="H727" t="str">
        <f t="shared" ref="H727:H732" si="12">"ABST FEE"</f>
        <v>ABST FEE</v>
      </c>
    </row>
    <row r="728" spans="1:8" x14ac:dyDescent="0.25">
      <c r="E728" t="str">
        <f>"13263"</f>
        <v>13263</v>
      </c>
      <c r="F728" t="str">
        <f t="shared" si="11"/>
        <v>ABST FEE</v>
      </c>
      <c r="G728" s="3">
        <v>225</v>
      </c>
      <c r="H728" t="str">
        <f t="shared" si="12"/>
        <v>ABST FEE</v>
      </c>
    </row>
    <row r="729" spans="1:8" x14ac:dyDescent="0.25">
      <c r="E729" t="str">
        <f>"13325  08/31"</f>
        <v>13325  08/31</v>
      </c>
      <c r="F729" t="str">
        <f t="shared" si="11"/>
        <v>ABST FEE</v>
      </c>
      <c r="G729" s="3">
        <v>25</v>
      </c>
      <c r="H729" t="str">
        <f t="shared" si="12"/>
        <v>ABST FEE</v>
      </c>
    </row>
    <row r="730" spans="1:8" x14ac:dyDescent="0.25">
      <c r="E730" t="str">
        <f>"13373"</f>
        <v>13373</v>
      </c>
      <c r="F730" t="str">
        <f t="shared" si="11"/>
        <v>ABST FEE</v>
      </c>
      <c r="G730" s="3">
        <v>171</v>
      </c>
      <c r="H730" t="str">
        <f t="shared" si="12"/>
        <v>ABST FEE</v>
      </c>
    </row>
    <row r="731" spans="1:8" x14ac:dyDescent="0.25">
      <c r="E731" t="str">
        <f>"13506"</f>
        <v>13506</v>
      </c>
      <c r="F731" t="str">
        <f t="shared" si="11"/>
        <v>ABST FEE</v>
      </c>
      <c r="G731" s="3">
        <v>225</v>
      </c>
      <c r="H731" t="str">
        <f t="shared" si="12"/>
        <v>ABST FEE</v>
      </c>
    </row>
    <row r="732" spans="1:8" x14ac:dyDescent="0.25">
      <c r="E732" t="str">
        <f>"13589"</f>
        <v>13589</v>
      </c>
      <c r="F732" t="str">
        <f t="shared" si="11"/>
        <v>ABST FEE</v>
      </c>
      <c r="G732" s="3">
        <v>225</v>
      </c>
      <c r="H732" t="str">
        <f t="shared" si="12"/>
        <v>ABST FEE</v>
      </c>
    </row>
    <row r="733" spans="1:8" x14ac:dyDescent="0.25">
      <c r="A733" t="s">
        <v>197</v>
      </c>
      <c r="B733">
        <v>137510</v>
      </c>
      <c r="C733" s="3">
        <v>914.33</v>
      </c>
      <c r="D733" s="4">
        <v>44494</v>
      </c>
      <c r="E733" t="str">
        <f>"18336303 18354809"</f>
        <v>18336303 18354809</v>
      </c>
      <c r="F733" t="str">
        <f>"INV 18336303  18354809  1"</f>
        <v>INV 18336303  18354809  1</v>
      </c>
      <c r="G733" s="3">
        <v>368.74</v>
      </c>
      <c r="H733" t="str">
        <f>"INV 18336303"</f>
        <v>INV 18336303</v>
      </c>
    </row>
    <row r="734" spans="1:8" x14ac:dyDescent="0.25">
      <c r="E734" t="str">
        <f>""</f>
        <v/>
      </c>
      <c r="F734" t="str">
        <f>""</f>
        <v/>
      </c>
      <c r="G734" s="3">
        <v>75.42</v>
      </c>
      <c r="H734" t="str">
        <f>"INV 18354809"</f>
        <v>INV 18354809</v>
      </c>
    </row>
    <row r="735" spans="1:8" x14ac:dyDescent="0.25">
      <c r="E735" t="str">
        <f>""</f>
        <v/>
      </c>
      <c r="F735" t="str">
        <f>""</f>
        <v/>
      </c>
      <c r="G735" s="3">
        <v>456.88</v>
      </c>
      <c r="H735" t="str">
        <f>"INV 18336550"</f>
        <v>INV 18336550</v>
      </c>
    </row>
    <row r="736" spans="1:8" x14ac:dyDescent="0.25">
      <c r="E736" t="str">
        <f>""</f>
        <v/>
      </c>
      <c r="F736" t="str">
        <f>""</f>
        <v/>
      </c>
      <c r="G736" s="3">
        <v>13.29</v>
      </c>
      <c r="H736" t="str">
        <f>"INV 18337038"</f>
        <v>INV 18337038</v>
      </c>
    </row>
    <row r="737" spans="1:8" x14ac:dyDescent="0.25">
      <c r="A737" t="s">
        <v>198</v>
      </c>
      <c r="B737">
        <v>137271</v>
      </c>
      <c r="C737" s="3">
        <v>140</v>
      </c>
      <c r="D737" s="4">
        <v>44481</v>
      </c>
      <c r="E737" t="str">
        <f>"202110066139"</f>
        <v>202110066139</v>
      </c>
      <c r="F737" t="str">
        <f>"PER DIEM"</f>
        <v>PER DIEM</v>
      </c>
      <c r="G737" s="3">
        <v>140</v>
      </c>
      <c r="H737" t="str">
        <f>"PER DIEM"</f>
        <v>PER DIEM</v>
      </c>
    </row>
    <row r="738" spans="1:8" x14ac:dyDescent="0.25">
      <c r="A738" t="s">
        <v>199</v>
      </c>
      <c r="B738">
        <v>137511</v>
      </c>
      <c r="C738" s="3">
        <v>995.83</v>
      </c>
      <c r="D738" s="4">
        <v>44494</v>
      </c>
      <c r="E738" t="str">
        <f>"202110196621"</f>
        <v>202110196621</v>
      </c>
      <c r="F738" t="str">
        <f>"INDIGENT HEALTH"</f>
        <v>INDIGENT HEALTH</v>
      </c>
      <c r="G738" s="3">
        <v>386.25</v>
      </c>
      <c r="H738" t="str">
        <f>"INDIGENT HEALTH"</f>
        <v>INDIGENT HEALTH</v>
      </c>
    </row>
    <row r="739" spans="1:8" x14ac:dyDescent="0.25">
      <c r="E739" t="str">
        <f>"202110196622"</f>
        <v>202110196622</v>
      </c>
      <c r="F739" t="str">
        <f>"INDIGENT HEALTH"</f>
        <v>INDIGENT HEALTH</v>
      </c>
      <c r="G739" s="3">
        <v>609.58000000000004</v>
      </c>
      <c r="H739" t="str">
        <f>"INDIGENT HEALTH"</f>
        <v>INDIGENT HEALTH</v>
      </c>
    </row>
    <row r="740" spans="1:8" x14ac:dyDescent="0.25">
      <c r="A740" t="s">
        <v>200</v>
      </c>
      <c r="B740">
        <v>137272</v>
      </c>
      <c r="C740" s="3">
        <v>2500</v>
      </c>
      <c r="D740" s="4">
        <v>44481</v>
      </c>
      <c r="E740" t="str">
        <f>"202110045975"</f>
        <v>202110045975</v>
      </c>
      <c r="F740" t="str">
        <f>"FY 2021-2022 FUNDING"</f>
        <v>FY 2021-2022 FUNDING</v>
      </c>
      <c r="G740" s="3">
        <v>2500</v>
      </c>
      <c r="H740" t="str">
        <f>"FY 2021-2022 FUNDING"</f>
        <v>FY 2021-2022 FUNDING</v>
      </c>
    </row>
    <row r="741" spans="1:8" x14ac:dyDescent="0.25">
      <c r="A741" t="s">
        <v>201</v>
      </c>
      <c r="B741">
        <v>137512</v>
      </c>
      <c r="C741" s="3">
        <v>200</v>
      </c>
      <c r="D741" s="4">
        <v>44494</v>
      </c>
      <c r="E741" t="str">
        <f>"242367223"</f>
        <v>242367223</v>
      </c>
      <c r="F741" t="str">
        <f>"CUST#10004926/ANIMAL SVCS"</f>
        <v>CUST#10004926/ANIMAL SVCS</v>
      </c>
      <c r="G741" s="3">
        <v>200</v>
      </c>
      <c r="H741" t="str">
        <f>"CUST#10004926/ANIMAL SVCS"</f>
        <v>CUST#10004926/ANIMAL SVCS</v>
      </c>
    </row>
    <row r="742" spans="1:8" x14ac:dyDescent="0.25">
      <c r="A742" t="s">
        <v>202</v>
      </c>
      <c r="B742">
        <v>5303</v>
      </c>
      <c r="C742" s="3">
        <v>234</v>
      </c>
      <c r="D742" s="4">
        <v>44495</v>
      </c>
      <c r="E742" t="str">
        <f>"202110146488"</f>
        <v>202110146488</v>
      </c>
      <c r="F742" t="str">
        <f>"INV #21-030"</f>
        <v>INV #21-030</v>
      </c>
      <c r="G742" s="3">
        <v>108</v>
      </c>
      <c r="H742" t="str">
        <f>"INV #21-030"</f>
        <v>INV #21-030</v>
      </c>
    </row>
    <row r="743" spans="1:8" x14ac:dyDescent="0.25">
      <c r="E743" t="str">
        <f>"202110146492"</f>
        <v>202110146492</v>
      </c>
      <c r="F743" t="str">
        <f>"INV #21-027"</f>
        <v>INV #21-027</v>
      </c>
      <c r="G743" s="3">
        <v>126</v>
      </c>
      <c r="H743" t="str">
        <f>"INV #21-027"</f>
        <v>INV #21-027</v>
      </c>
    </row>
    <row r="744" spans="1:8" x14ac:dyDescent="0.25">
      <c r="A744" t="s">
        <v>203</v>
      </c>
      <c r="B744">
        <v>5186</v>
      </c>
      <c r="C744" s="3">
        <v>1178.5999999999999</v>
      </c>
      <c r="D744" s="4">
        <v>44482</v>
      </c>
      <c r="E744" t="str">
        <f>"25581"</f>
        <v>25581</v>
      </c>
      <c r="F744" t="str">
        <f>"FREIGHT SALES/PCT#2"</f>
        <v>FREIGHT SALES/PCT#2</v>
      </c>
      <c r="G744" s="3">
        <v>470.1</v>
      </c>
      <c r="H744" t="str">
        <f>"FREIGHT SALES/PCT#2"</f>
        <v>FREIGHT SALES/PCT#2</v>
      </c>
    </row>
    <row r="745" spans="1:8" x14ac:dyDescent="0.25">
      <c r="E745" t="str">
        <f>"25636"</f>
        <v>25636</v>
      </c>
      <c r="F745" t="str">
        <f>"FRIGHT SALES/PCT#2"</f>
        <v>FRIGHT SALES/PCT#2</v>
      </c>
      <c r="G745" s="3">
        <v>708.5</v>
      </c>
      <c r="H745" t="str">
        <f>"FRIGHT SALES/PCT#2"</f>
        <v>FRIGHT SALES/PCT#2</v>
      </c>
    </row>
    <row r="746" spans="1:8" x14ac:dyDescent="0.25">
      <c r="A746" t="s">
        <v>203</v>
      </c>
      <c r="B746">
        <v>5266</v>
      </c>
      <c r="C746" s="3">
        <v>2421.9499999999998</v>
      </c>
      <c r="D746" s="4">
        <v>44495</v>
      </c>
      <c r="E746" t="str">
        <f>"25677"</f>
        <v>25677</v>
      </c>
      <c r="F746" t="str">
        <f>"FREIGHT SALES PCT2"</f>
        <v>FREIGHT SALES PCT2</v>
      </c>
      <c r="G746" s="3">
        <v>713</v>
      </c>
      <c r="H746" t="str">
        <f>"FREIGHT SALES PCT2"</f>
        <v>FREIGHT SALES PCT2</v>
      </c>
    </row>
    <row r="747" spans="1:8" x14ac:dyDescent="0.25">
      <c r="E747" t="str">
        <f>"25733"</f>
        <v>25733</v>
      </c>
      <c r="F747" t="str">
        <f>"FREIGHT SALES/PCT#2"</f>
        <v>FREIGHT SALES/PCT#2</v>
      </c>
      <c r="G747" s="3">
        <v>624.79999999999995</v>
      </c>
      <c r="H747" t="str">
        <f>"FREIGHT SALES/PCT#2"</f>
        <v>FREIGHT SALES/PCT#2</v>
      </c>
    </row>
    <row r="748" spans="1:8" x14ac:dyDescent="0.25">
      <c r="E748" t="str">
        <f>"25733 09/30"</f>
        <v>25733 09/30</v>
      </c>
      <c r="F748" t="str">
        <f>"FREIGHT SALES/PCT#2"</f>
        <v>FREIGHT SALES/PCT#2</v>
      </c>
      <c r="G748" s="3">
        <v>1084.1500000000001</v>
      </c>
      <c r="H748" t="str">
        <f>"FREIGHT SALES/PCT#2"</f>
        <v>FREIGHT SALES/PCT#2</v>
      </c>
    </row>
    <row r="749" spans="1:8" x14ac:dyDescent="0.25">
      <c r="A749" t="s">
        <v>204</v>
      </c>
      <c r="B749">
        <v>137513</v>
      </c>
      <c r="C749" s="3">
        <v>70.180000000000007</v>
      </c>
      <c r="D749" s="4">
        <v>44494</v>
      </c>
      <c r="E749" t="str">
        <f>"4846*162*1"</f>
        <v>4846*162*1</v>
      </c>
      <c r="F749" t="str">
        <f>"JAIL MEDICAL"</f>
        <v>JAIL MEDICAL</v>
      </c>
      <c r="G749" s="3">
        <v>70.180000000000007</v>
      </c>
      <c r="H749" t="str">
        <f>"JAIL MEDICAL"</f>
        <v>JAIL MEDICAL</v>
      </c>
    </row>
    <row r="750" spans="1:8" x14ac:dyDescent="0.25">
      <c r="A750" t="s">
        <v>205</v>
      </c>
      <c r="B750">
        <v>137347</v>
      </c>
      <c r="C750" s="3">
        <v>86</v>
      </c>
      <c r="D750" s="4">
        <v>44481</v>
      </c>
      <c r="E750" t="str">
        <f>"202110126360"</f>
        <v>202110126360</v>
      </c>
      <c r="F750" t="str">
        <f>"Miscell"</f>
        <v>Miscell</v>
      </c>
      <c r="G750" s="3">
        <v>86</v>
      </c>
      <c r="H750" t="str">
        <f>"ADRIANA MIREYA FLOYD"</f>
        <v>ADRIANA MIREYA FLOYD</v>
      </c>
    </row>
    <row r="751" spans="1:8" x14ac:dyDescent="0.25">
      <c r="A751" t="s">
        <v>206</v>
      </c>
      <c r="B751">
        <v>137348</v>
      </c>
      <c r="C751" s="3">
        <v>6</v>
      </c>
      <c r="D751" s="4">
        <v>44481</v>
      </c>
      <c r="E751" t="str">
        <f>"202110126361"</f>
        <v>202110126361</v>
      </c>
      <c r="F751" t="str">
        <f>"Miscellaneou"</f>
        <v>Miscellaneou</v>
      </c>
      <c r="G751" s="3">
        <v>6</v>
      </c>
      <c r="H751" t="str">
        <f>"VITO BEN VENUTI"</f>
        <v>VITO BEN VENUTI</v>
      </c>
    </row>
    <row r="752" spans="1:8" x14ac:dyDescent="0.25">
      <c r="A752" t="s">
        <v>207</v>
      </c>
      <c r="B752">
        <v>137349</v>
      </c>
      <c r="C752" s="3">
        <v>6</v>
      </c>
      <c r="D752" s="4">
        <v>44481</v>
      </c>
      <c r="E752" t="str">
        <f>"202110126362"</f>
        <v>202110126362</v>
      </c>
      <c r="F752" t="str">
        <f>"Miscell"</f>
        <v>Miscell</v>
      </c>
      <c r="G752" s="3">
        <v>6</v>
      </c>
      <c r="H752" t="str">
        <f>"AUGUST HENRY BOER JR"</f>
        <v>AUGUST HENRY BOER JR</v>
      </c>
    </row>
    <row r="753" spans="1:8" x14ac:dyDescent="0.25">
      <c r="A753" t="s">
        <v>208</v>
      </c>
      <c r="B753">
        <v>137350</v>
      </c>
      <c r="C753" s="3">
        <v>6</v>
      </c>
      <c r="D753" s="4">
        <v>44481</v>
      </c>
      <c r="E753" t="str">
        <f>"202110126363"</f>
        <v>202110126363</v>
      </c>
      <c r="F753" t="str">
        <f>"Miscell"</f>
        <v>Miscell</v>
      </c>
      <c r="G753" s="3">
        <v>6</v>
      </c>
      <c r="H753" t="str">
        <f>"JOSE VALENTIN GARCIA"</f>
        <v>JOSE VALENTIN GARCIA</v>
      </c>
    </row>
    <row r="754" spans="1:8" x14ac:dyDescent="0.25">
      <c r="A754" t="s">
        <v>209</v>
      </c>
      <c r="B754">
        <v>137351</v>
      </c>
      <c r="C754" s="3">
        <v>6</v>
      </c>
      <c r="D754" s="4">
        <v>44481</v>
      </c>
      <c r="E754" t="str">
        <f>"202110126364"</f>
        <v>202110126364</v>
      </c>
      <c r="F754" t="str">
        <f>"Miscellaneous"</f>
        <v>Miscellaneous</v>
      </c>
      <c r="G754" s="3">
        <v>6</v>
      </c>
      <c r="H754" t="str">
        <f>"DEVIN CARTER"</f>
        <v>DEVIN CARTER</v>
      </c>
    </row>
    <row r="755" spans="1:8" x14ac:dyDescent="0.25">
      <c r="A755" t="s">
        <v>210</v>
      </c>
      <c r="B755">
        <v>137352</v>
      </c>
      <c r="C755" s="3">
        <v>6</v>
      </c>
      <c r="D755" s="4">
        <v>44481</v>
      </c>
      <c r="E755" t="str">
        <f>"202110126365"</f>
        <v>202110126365</v>
      </c>
      <c r="F755" t="str">
        <f>"Mis"</f>
        <v>Mis</v>
      </c>
      <c r="G755" s="3">
        <v>6</v>
      </c>
      <c r="H755" t="str">
        <f>"BRIANN MICHELLE GALLOWAY"</f>
        <v>BRIANN MICHELLE GALLOWAY</v>
      </c>
    </row>
    <row r="756" spans="1:8" x14ac:dyDescent="0.25">
      <c r="A756" t="s">
        <v>211</v>
      </c>
      <c r="B756">
        <v>137353</v>
      </c>
      <c r="C756" s="3">
        <v>6</v>
      </c>
      <c r="D756" s="4">
        <v>44481</v>
      </c>
      <c r="E756" t="str">
        <f>"202110126366"</f>
        <v>202110126366</v>
      </c>
      <c r="F756" t="str">
        <f>"Miscellane"</f>
        <v>Miscellane</v>
      </c>
      <c r="G756" s="3">
        <v>6</v>
      </c>
      <c r="H756" t="str">
        <f>"ARCHIE ADAM BROWN"</f>
        <v>ARCHIE ADAM BROWN</v>
      </c>
    </row>
    <row r="757" spans="1:8" x14ac:dyDescent="0.25">
      <c r="A757" t="s">
        <v>212</v>
      </c>
      <c r="B757">
        <v>137354</v>
      </c>
      <c r="C757" s="3">
        <v>6</v>
      </c>
      <c r="D757" s="4">
        <v>44481</v>
      </c>
      <c r="E757" t="str">
        <f>"202110126367"</f>
        <v>202110126367</v>
      </c>
      <c r="F757" t="str">
        <f>"Miscellan"</f>
        <v>Miscellan</v>
      </c>
      <c r="G757" s="3">
        <v>6</v>
      </c>
      <c r="H757" t="str">
        <f>"JOSUE ALFARO PEREZ"</f>
        <v>JOSUE ALFARO PEREZ</v>
      </c>
    </row>
    <row r="758" spans="1:8" x14ac:dyDescent="0.25">
      <c r="A758" t="s">
        <v>213</v>
      </c>
      <c r="B758">
        <v>137355</v>
      </c>
      <c r="C758" s="3">
        <v>6</v>
      </c>
      <c r="D758" s="4">
        <v>44481</v>
      </c>
      <c r="E758" t="str">
        <f>"202110126368"</f>
        <v>202110126368</v>
      </c>
      <c r="F758" t="str">
        <f>"Misc"</f>
        <v>Misc</v>
      </c>
      <c r="G758" s="3">
        <v>6</v>
      </c>
      <c r="H758" t="str">
        <f>"GENESIS LIZBETH MENDOZA"</f>
        <v>GENESIS LIZBETH MENDOZA</v>
      </c>
    </row>
    <row r="759" spans="1:8" x14ac:dyDescent="0.25">
      <c r="A759" t="s">
        <v>214</v>
      </c>
      <c r="B759">
        <v>137356</v>
      </c>
      <c r="C759" s="3">
        <v>6</v>
      </c>
      <c r="D759" s="4">
        <v>44481</v>
      </c>
      <c r="E759" t="str">
        <f>"202110126369"</f>
        <v>202110126369</v>
      </c>
      <c r="F759" t="str">
        <f>"Miscel"</f>
        <v>Miscel</v>
      </c>
      <c r="G759" s="3">
        <v>6</v>
      </c>
      <c r="H759" t="str">
        <f>"WILLIAM SHAWN ABRAHAM"</f>
        <v>WILLIAM SHAWN ABRAHAM</v>
      </c>
    </row>
    <row r="760" spans="1:8" x14ac:dyDescent="0.25">
      <c r="A760" t="s">
        <v>215</v>
      </c>
      <c r="B760">
        <v>137357</v>
      </c>
      <c r="C760" s="3">
        <v>86</v>
      </c>
      <c r="D760" s="4">
        <v>44481</v>
      </c>
      <c r="E760" t="str">
        <f>"202110126370"</f>
        <v>202110126370</v>
      </c>
      <c r="F760" t="str">
        <f>"Miscellan"</f>
        <v>Miscellan</v>
      </c>
      <c r="G760" s="3">
        <v>86</v>
      </c>
      <c r="H760" t="str">
        <f>"NORA HILDA VALADEZ"</f>
        <v>NORA HILDA VALADEZ</v>
      </c>
    </row>
    <row r="761" spans="1:8" x14ac:dyDescent="0.25">
      <c r="A761" t="s">
        <v>216</v>
      </c>
      <c r="B761">
        <v>137358</v>
      </c>
      <c r="C761" s="3">
        <v>86</v>
      </c>
      <c r="D761" s="4">
        <v>44481</v>
      </c>
      <c r="E761" t="str">
        <f>"202110126371"</f>
        <v>202110126371</v>
      </c>
      <c r="F761" t="str">
        <f>"Mi"</f>
        <v>Mi</v>
      </c>
      <c r="G761" s="3">
        <v>86</v>
      </c>
      <c r="H761" t="str">
        <f>"JUDY WHISENHUNT WOODWORTH"</f>
        <v>JUDY WHISENHUNT WOODWORTH</v>
      </c>
    </row>
    <row r="762" spans="1:8" x14ac:dyDescent="0.25">
      <c r="A762" t="s">
        <v>217</v>
      </c>
      <c r="B762">
        <v>137359</v>
      </c>
      <c r="C762" s="3">
        <v>6</v>
      </c>
      <c r="D762" s="4">
        <v>44481</v>
      </c>
      <c r="E762" t="str">
        <f>"202110126372"</f>
        <v>202110126372</v>
      </c>
      <c r="F762" t="str">
        <f>"Misc"</f>
        <v>Misc</v>
      </c>
      <c r="G762" s="3">
        <v>6</v>
      </c>
      <c r="H762" t="str">
        <f>"MATTHEW DANIEL SOUTHARD"</f>
        <v>MATTHEW DANIEL SOUTHARD</v>
      </c>
    </row>
    <row r="763" spans="1:8" x14ac:dyDescent="0.25">
      <c r="A763" t="s">
        <v>218</v>
      </c>
      <c r="B763">
        <v>137360</v>
      </c>
      <c r="C763" s="3">
        <v>6</v>
      </c>
      <c r="D763" s="4">
        <v>44481</v>
      </c>
      <c r="E763" t="str">
        <f>"202110126373"</f>
        <v>202110126373</v>
      </c>
      <c r="F763" t="str">
        <f>"Miscellan"</f>
        <v>Miscellan</v>
      </c>
      <c r="G763" s="3">
        <v>6</v>
      </c>
      <c r="H763" t="str">
        <f>"AMANDA CAROL YOUNG"</f>
        <v>AMANDA CAROL YOUNG</v>
      </c>
    </row>
    <row r="764" spans="1:8" x14ac:dyDescent="0.25">
      <c r="A764" t="s">
        <v>219</v>
      </c>
      <c r="B764">
        <v>137361</v>
      </c>
      <c r="C764" s="3">
        <v>6</v>
      </c>
      <c r="D764" s="4">
        <v>44481</v>
      </c>
      <c r="E764" t="str">
        <f>"202110126374"</f>
        <v>202110126374</v>
      </c>
      <c r="F764" t="str">
        <f>"Miscell"</f>
        <v>Miscell</v>
      </c>
      <c r="G764" s="3">
        <v>6</v>
      </c>
      <c r="H764" t="str">
        <f>"JONATHAN RYAN JUAREZ"</f>
        <v>JONATHAN RYAN JUAREZ</v>
      </c>
    </row>
    <row r="765" spans="1:8" x14ac:dyDescent="0.25">
      <c r="A765" t="s">
        <v>220</v>
      </c>
      <c r="B765">
        <v>137362</v>
      </c>
      <c r="C765" s="3">
        <v>6</v>
      </c>
      <c r="D765" s="4">
        <v>44481</v>
      </c>
      <c r="E765" t="str">
        <f>"202110126375"</f>
        <v>202110126375</v>
      </c>
      <c r="F765" t="str">
        <f>"Miscel"</f>
        <v>Miscel</v>
      </c>
      <c r="G765" s="3">
        <v>6</v>
      </c>
      <c r="H765" t="str">
        <f>"JENNIFER BROWN BEZNER"</f>
        <v>JENNIFER BROWN BEZNER</v>
      </c>
    </row>
    <row r="766" spans="1:8" x14ac:dyDescent="0.25">
      <c r="A766" t="s">
        <v>221</v>
      </c>
      <c r="B766">
        <v>137363</v>
      </c>
      <c r="C766" s="3">
        <v>6</v>
      </c>
      <c r="D766" s="4">
        <v>44481</v>
      </c>
      <c r="E766" t="str">
        <f>"202110126376"</f>
        <v>202110126376</v>
      </c>
      <c r="F766" t="str">
        <f>"Miscellane"</f>
        <v>Miscellane</v>
      </c>
      <c r="G766" s="3">
        <v>6</v>
      </c>
      <c r="H766" t="str">
        <f>"JAMES ALLEN BAKER"</f>
        <v>JAMES ALLEN BAKER</v>
      </c>
    </row>
    <row r="767" spans="1:8" x14ac:dyDescent="0.25">
      <c r="A767" t="s">
        <v>222</v>
      </c>
      <c r="B767">
        <v>137364</v>
      </c>
      <c r="C767" s="3">
        <v>86</v>
      </c>
      <c r="D767" s="4">
        <v>44481</v>
      </c>
      <c r="E767" t="str">
        <f>"202110126377"</f>
        <v>202110126377</v>
      </c>
      <c r="F767" t="str">
        <f>"Miscellaneous"</f>
        <v>Miscellaneous</v>
      </c>
      <c r="G767" s="3">
        <v>86</v>
      </c>
      <c r="H767" t="str">
        <f>"ANGELES PUGA"</f>
        <v>ANGELES PUGA</v>
      </c>
    </row>
    <row r="768" spans="1:8" x14ac:dyDescent="0.25">
      <c r="A768" t="s">
        <v>223</v>
      </c>
      <c r="B768">
        <v>137365</v>
      </c>
      <c r="C768" s="3">
        <v>86</v>
      </c>
      <c r="D768" s="4">
        <v>44481</v>
      </c>
      <c r="E768" t="str">
        <f>"202110126378"</f>
        <v>202110126378</v>
      </c>
      <c r="F768" t="str">
        <f>"Mi"</f>
        <v>Mi</v>
      </c>
      <c r="G768" s="3">
        <v>86</v>
      </c>
      <c r="H768" t="str">
        <f>"LANCE DWAYNE VAILLANCOURT"</f>
        <v>LANCE DWAYNE VAILLANCOURT</v>
      </c>
    </row>
    <row r="769" spans="1:8" x14ac:dyDescent="0.25">
      <c r="A769" t="s">
        <v>224</v>
      </c>
      <c r="B769">
        <v>137366</v>
      </c>
      <c r="C769" s="3">
        <v>6</v>
      </c>
      <c r="D769" s="4">
        <v>44481</v>
      </c>
      <c r="E769" t="str">
        <f>"202110126379"</f>
        <v>202110126379</v>
      </c>
      <c r="F769" t="str">
        <f>"Miscellan"</f>
        <v>Miscellan</v>
      </c>
      <c r="G769" s="3">
        <v>6</v>
      </c>
      <c r="H769" t="str">
        <f>"ESTELLE M CALLIGAN"</f>
        <v>ESTELLE M CALLIGAN</v>
      </c>
    </row>
    <row r="770" spans="1:8" x14ac:dyDescent="0.25">
      <c r="A770" t="s">
        <v>225</v>
      </c>
      <c r="B770">
        <v>137367</v>
      </c>
      <c r="C770" s="3">
        <v>6</v>
      </c>
      <c r="D770" s="4">
        <v>44481</v>
      </c>
      <c r="E770" t="str">
        <f>"202110126380"</f>
        <v>202110126380</v>
      </c>
      <c r="F770" t="str">
        <f>"Miscellan"</f>
        <v>Miscellan</v>
      </c>
      <c r="G770" s="3">
        <v>6</v>
      </c>
      <c r="H770" t="str">
        <f>"MEGAN SUE SHEPHERD"</f>
        <v>MEGAN SUE SHEPHERD</v>
      </c>
    </row>
    <row r="771" spans="1:8" x14ac:dyDescent="0.25">
      <c r="A771" t="s">
        <v>226</v>
      </c>
      <c r="B771">
        <v>137368</v>
      </c>
      <c r="C771" s="3">
        <v>6</v>
      </c>
      <c r="D771" s="4">
        <v>44481</v>
      </c>
      <c r="E771" t="str">
        <f>"202110126381"</f>
        <v>202110126381</v>
      </c>
      <c r="F771" t="str">
        <f>"Miscell"</f>
        <v>Miscell</v>
      </c>
      <c r="G771" s="3">
        <v>6</v>
      </c>
      <c r="H771" t="str">
        <f>"MARC ALEXANDER SILVA"</f>
        <v>MARC ALEXANDER SILVA</v>
      </c>
    </row>
    <row r="772" spans="1:8" x14ac:dyDescent="0.25">
      <c r="A772" t="s">
        <v>227</v>
      </c>
      <c r="B772">
        <v>137369</v>
      </c>
      <c r="C772" s="3">
        <v>6</v>
      </c>
      <c r="D772" s="4">
        <v>44481</v>
      </c>
      <c r="E772" t="str">
        <f>"202110126382"</f>
        <v>202110126382</v>
      </c>
      <c r="F772" t="str">
        <f>"Miscel"</f>
        <v>Miscel</v>
      </c>
      <c r="G772" s="3">
        <v>6</v>
      </c>
      <c r="H772" t="str">
        <f>"STEPHANIE APRIL GARZA"</f>
        <v>STEPHANIE APRIL GARZA</v>
      </c>
    </row>
    <row r="773" spans="1:8" x14ac:dyDescent="0.25">
      <c r="A773" t="s">
        <v>228</v>
      </c>
      <c r="B773">
        <v>137370</v>
      </c>
      <c r="C773" s="3">
        <v>6</v>
      </c>
      <c r="D773" s="4">
        <v>44481</v>
      </c>
      <c r="E773" t="str">
        <f>"202110126383"</f>
        <v>202110126383</v>
      </c>
      <c r="F773" t="str">
        <f>"Miscellaneous"</f>
        <v>Miscellaneous</v>
      </c>
      <c r="G773" s="3">
        <v>6</v>
      </c>
      <c r="H773" t="str">
        <f>"HEDER GAONA"</f>
        <v>HEDER GAONA</v>
      </c>
    </row>
    <row r="774" spans="1:8" x14ac:dyDescent="0.25">
      <c r="A774" t="s">
        <v>229</v>
      </c>
      <c r="B774">
        <v>137371</v>
      </c>
      <c r="C774" s="3">
        <v>6</v>
      </c>
      <c r="D774" s="4">
        <v>44481</v>
      </c>
      <c r="E774" t="str">
        <f>"202110126384"</f>
        <v>202110126384</v>
      </c>
      <c r="F774" t="str">
        <f>"Miscel"</f>
        <v>Miscel</v>
      </c>
      <c r="G774" s="3">
        <v>6</v>
      </c>
      <c r="H774" t="str">
        <f>"NICOLE LEONE CANTRELL"</f>
        <v>NICOLE LEONE CANTRELL</v>
      </c>
    </row>
    <row r="775" spans="1:8" x14ac:dyDescent="0.25">
      <c r="A775" t="s">
        <v>230</v>
      </c>
      <c r="B775">
        <v>137372</v>
      </c>
      <c r="C775" s="3">
        <v>6</v>
      </c>
      <c r="D775" s="4">
        <v>44481</v>
      </c>
      <c r="E775" t="str">
        <f>"202110126385"</f>
        <v>202110126385</v>
      </c>
      <c r="F775" t="str">
        <f>"Miscell"</f>
        <v>Miscell</v>
      </c>
      <c r="G775" s="3">
        <v>6</v>
      </c>
      <c r="H775" t="str">
        <f>"JOSE ANTONIO PACHUCA"</f>
        <v>JOSE ANTONIO PACHUCA</v>
      </c>
    </row>
    <row r="776" spans="1:8" x14ac:dyDescent="0.25">
      <c r="A776" t="s">
        <v>231</v>
      </c>
      <c r="B776">
        <v>137373</v>
      </c>
      <c r="C776" s="3">
        <v>6</v>
      </c>
      <c r="D776" s="4">
        <v>44481</v>
      </c>
      <c r="E776" t="str">
        <f>"202110126386"</f>
        <v>202110126386</v>
      </c>
      <c r="F776" t="str">
        <f>"Misce"</f>
        <v>Misce</v>
      </c>
      <c r="G776" s="3">
        <v>6</v>
      </c>
      <c r="H776" t="str">
        <f>"JORGE ALBERTO CISNEROS"</f>
        <v>JORGE ALBERTO CISNEROS</v>
      </c>
    </row>
    <row r="777" spans="1:8" x14ac:dyDescent="0.25">
      <c r="A777" t="s">
        <v>232</v>
      </c>
      <c r="B777">
        <v>137374</v>
      </c>
      <c r="C777" s="3">
        <v>6</v>
      </c>
      <c r="D777" s="4">
        <v>44481</v>
      </c>
      <c r="E777" t="str">
        <f>"202110126387"</f>
        <v>202110126387</v>
      </c>
      <c r="F777" t="str">
        <f>"Miscell"</f>
        <v>Miscell</v>
      </c>
      <c r="G777" s="3">
        <v>6</v>
      </c>
      <c r="H777" t="str">
        <f>"JACQUELINE HERNANDEZ"</f>
        <v>JACQUELINE HERNANDEZ</v>
      </c>
    </row>
    <row r="778" spans="1:8" x14ac:dyDescent="0.25">
      <c r="A778" t="s">
        <v>233</v>
      </c>
      <c r="B778">
        <v>137375</v>
      </c>
      <c r="C778" s="3">
        <v>6</v>
      </c>
      <c r="D778" s="4">
        <v>44481</v>
      </c>
      <c r="E778" t="str">
        <f>"202110126388"</f>
        <v>202110126388</v>
      </c>
      <c r="F778" t="str">
        <f>"Miscellan"</f>
        <v>Miscellan</v>
      </c>
      <c r="G778" s="3">
        <v>6</v>
      </c>
      <c r="H778" t="str">
        <f>"TRAVIS WAYNE EARLY"</f>
        <v>TRAVIS WAYNE EARLY</v>
      </c>
    </row>
    <row r="779" spans="1:8" x14ac:dyDescent="0.25">
      <c r="A779" t="s">
        <v>234</v>
      </c>
      <c r="B779">
        <v>137376</v>
      </c>
      <c r="C779" s="3">
        <v>6</v>
      </c>
      <c r="D779" s="4">
        <v>44481</v>
      </c>
      <c r="E779" t="str">
        <f>"202110126389"</f>
        <v>202110126389</v>
      </c>
      <c r="F779" t="str">
        <f>"M"</f>
        <v>M</v>
      </c>
      <c r="G779" s="3">
        <v>6</v>
      </c>
      <c r="H779" t="str">
        <f>"CHARLIE ANN JONES-MUTSCHER"</f>
        <v>CHARLIE ANN JONES-MUTSCHER</v>
      </c>
    </row>
    <row r="780" spans="1:8" x14ac:dyDescent="0.25">
      <c r="A780" t="s">
        <v>235</v>
      </c>
      <c r="B780">
        <v>137377</v>
      </c>
      <c r="C780" s="3">
        <v>6</v>
      </c>
      <c r="D780" s="4">
        <v>44481</v>
      </c>
      <c r="E780" t="str">
        <f>"202110126390"</f>
        <v>202110126390</v>
      </c>
      <c r="F780" t="str">
        <f>"Miscellan"</f>
        <v>Miscellan</v>
      </c>
      <c r="G780" s="3">
        <v>6</v>
      </c>
      <c r="H780" t="str">
        <f>"ANGELA WYNNE RASCO"</f>
        <v>ANGELA WYNNE RASCO</v>
      </c>
    </row>
    <row r="781" spans="1:8" x14ac:dyDescent="0.25">
      <c r="A781" t="s">
        <v>236</v>
      </c>
      <c r="B781">
        <v>137378</v>
      </c>
      <c r="C781" s="3">
        <v>6</v>
      </c>
      <c r="D781" s="4">
        <v>44481</v>
      </c>
      <c r="E781" t="str">
        <f>"202110126391"</f>
        <v>202110126391</v>
      </c>
      <c r="F781" t="str">
        <f>"Misce"</f>
        <v>Misce</v>
      </c>
      <c r="G781" s="3">
        <v>6</v>
      </c>
      <c r="H781" t="str">
        <f>"CHRISTINE ELAINE CROSS"</f>
        <v>CHRISTINE ELAINE CROSS</v>
      </c>
    </row>
    <row r="782" spans="1:8" x14ac:dyDescent="0.25">
      <c r="A782" t="s">
        <v>237</v>
      </c>
      <c r="B782">
        <v>137379</v>
      </c>
      <c r="C782" s="3">
        <v>6</v>
      </c>
      <c r="D782" s="4">
        <v>44481</v>
      </c>
      <c r="E782" t="str">
        <f>"202110126392"</f>
        <v>202110126392</v>
      </c>
      <c r="F782" t="str">
        <f>"Miscellaneous"</f>
        <v>Miscellaneous</v>
      </c>
      <c r="G782" s="3">
        <v>6</v>
      </c>
      <c r="H782" t="str">
        <f>"KARIME CAVAZOS"</f>
        <v>KARIME CAVAZOS</v>
      </c>
    </row>
    <row r="783" spans="1:8" x14ac:dyDescent="0.25">
      <c r="A783" t="s">
        <v>238</v>
      </c>
      <c r="B783">
        <v>137380</v>
      </c>
      <c r="C783" s="3">
        <v>6</v>
      </c>
      <c r="D783" s="4">
        <v>44481</v>
      </c>
      <c r="E783" t="str">
        <f>"202110126393"</f>
        <v>202110126393</v>
      </c>
      <c r="F783" t="str">
        <f>"Misc"</f>
        <v>Misc</v>
      </c>
      <c r="G783" s="3">
        <v>6</v>
      </c>
      <c r="H783" t="str">
        <f>"CRISTINA CERDA DRISCOLL"</f>
        <v>CRISTINA CERDA DRISCOLL</v>
      </c>
    </row>
    <row r="784" spans="1:8" x14ac:dyDescent="0.25">
      <c r="A784" t="s">
        <v>239</v>
      </c>
      <c r="B784">
        <v>137381</v>
      </c>
      <c r="C784" s="3">
        <v>6</v>
      </c>
      <c r="D784" s="4">
        <v>44481</v>
      </c>
      <c r="E784" t="str">
        <f>"202110126394"</f>
        <v>202110126394</v>
      </c>
      <c r="F784" t="str">
        <f>"Misce"</f>
        <v>Misce</v>
      </c>
      <c r="G784" s="3">
        <v>6</v>
      </c>
      <c r="H784" t="str">
        <f>"STEPHANIE ALVAREZ-COTA"</f>
        <v>STEPHANIE ALVAREZ-COTA</v>
      </c>
    </row>
    <row r="785" spans="1:8" x14ac:dyDescent="0.25">
      <c r="A785" t="s">
        <v>240</v>
      </c>
      <c r="B785">
        <v>137382</v>
      </c>
      <c r="C785" s="3">
        <v>6</v>
      </c>
      <c r="D785" s="4">
        <v>44481</v>
      </c>
      <c r="E785" t="str">
        <f>"202110126395"</f>
        <v>202110126395</v>
      </c>
      <c r="F785" t="str">
        <f>"Miscell"</f>
        <v>Miscell</v>
      </c>
      <c r="G785" s="3">
        <v>6</v>
      </c>
      <c r="H785" t="str">
        <f>"DUKE DOUGLAS MUELLER"</f>
        <v>DUKE DOUGLAS MUELLER</v>
      </c>
    </row>
    <row r="786" spans="1:8" x14ac:dyDescent="0.25">
      <c r="A786" t="s">
        <v>241</v>
      </c>
      <c r="B786">
        <v>137383</v>
      </c>
      <c r="C786" s="3">
        <v>6</v>
      </c>
      <c r="D786" s="4">
        <v>44481</v>
      </c>
      <c r="E786" t="str">
        <f>"202110126396"</f>
        <v>202110126396</v>
      </c>
      <c r="F786" t="str">
        <f>"Misc"</f>
        <v>Misc</v>
      </c>
      <c r="G786" s="3">
        <v>6</v>
      </c>
      <c r="H786" t="str">
        <f>"ALEXIS RENEE GOOD-LONEY"</f>
        <v>ALEXIS RENEE GOOD-LONEY</v>
      </c>
    </row>
    <row r="787" spans="1:8" x14ac:dyDescent="0.25">
      <c r="A787" t="s">
        <v>242</v>
      </c>
      <c r="B787">
        <v>137384</v>
      </c>
      <c r="C787" s="3">
        <v>6</v>
      </c>
      <c r="D787" s="4">
        <v>44481</v>
      </c>
      <c r="E787" t="str">
        <f>"202110126397"</f>
        <v>202110126397</v>
      </c>
      <c r="F787" t="str">
        <f>"Miscellan"</f>
        <v>Miscellan</v>
      </c>
      <c r="G787" s="3">
        <v>6</v>
      </c>
      <c r="H787" t="str">
        <f>"MICHAEL DAVID ROSS"</f>
        <v>MICHAEL DAVID ROSS</v>
      </c>
    </row>
    <row r="788" spans="1:8" x14ac:dyDescent="0.25">
      <c r="A788" t="s">
        <v>243</v>
      </c>
      <c r="B788">
        <v>137385</v>
      </c>
      <c r="C788" s="3">
        <v>6</v>
      </c>
      <c r="D788" s="4">
        <v>44481</v>
      </c>
      <c r="E788" t="str">
        <f>"202110126398"</f>
        <v>202110126398</v>
      </c>
      <c r="F788" t="str">
        <f>"Miscella"</f>
        <v>Miscella</v>
      </c>
      <c r="G788" s="3">
        <v>6</v>
      </c>
      <c r="H788" t="str">
        <f>"BRANDON COLE BUNKER"</f>
        <v>BRANDON COLE BUNKER</v>
      </c>
    </row>
    <row r="789" spans="1:8" x14ac:dyDescent="0.25">
      <c r="A789" t="s">
        <v>244</v>
      </c>
      <c r="B789">
        <v>137386</v>
      </c>
      <c r="C789" s="3">
        <v>6</v>
      </c>
      <c r="D789" s="4">
        <v>44481</v>
      </c>
      <c r="E789" t="str">
        <f>"202110126399"</f>
        <v>202110126399</v>
      </c>
      <c r="F789" t="str">
        <f>"Miscellaneo"</f>
        <v>Miscellaneo</v>
      </c>
      <c r="G789" s="3">
        <v>6</v>
      </c>
      <c r="H789" t="str">
        <f>"SERGIO GUTIERREZ"</f>
        <v>SERGIO GUTIERREZ</v>
      </c>
    </row>
    <row r="790" spans="1:8" x14ac:dyDescent="0.25">
      <c r="A790" t="s">
        <v>245</v>
      </c>
      <c r="B790">
        <v>137387</v>
      </c>
      <c r="C790" s="3">
        <v>86</v>
      </c>
      <c r="D790" s="4">
        <v>44481</v>
      </c>
      <c r="E790" t="str">
        <f>"202110126400"</f>
        <v>202110126400</v>
      </c>
      <c r="F790" t="str">
        <f>"Miscellane"</f>
        <v>Miscellane</v>
      </c>
      <c r="G790" s="3">
        <v>86</v>
      </c>
      <c r="H790" t="str">
        <f>"ROBERT TODD FELPS"</f>
        <v>ROBERT TODD FELPS</v>
      </c>
    </row>
    <row r="791" spans="1:8" x14ac:dyDescent="0.25">
      <c r="A791" t="s">
        <v>246</v>
      </c>
      <c r="B791">
        <v>137388</v>
      </c>
      <c r="C791" s="3">
        <v>6</v>
      </c>
      <c r="D791" s="4">
        <v>44481</v>
      </c>
      <c r="E791" t="str">
        <f>"202110126401"</f>
        <v>202110126401</v>
      </c>
      <c r="F791" t="str">
        <f>"Misce"</f>
        <v>Misce</v>
      </c>
      <c r="G791" s="3">
        <v>6</v>
      </c>
      <c r="H791" t="str">
        <f>"KENNETH RANDALL HEAVIN"</f>
        <v>KENNETH RANDALL HEAVIN</v>
      </c>
    </row>
    <row r="792" spans="1:8" x14ac:dyDescent="0.25">
      <c r="A792" t="s">
        <v>247</v>
      </c>
      <c r="B792">
        <v>137389</v>
      </c>
      <c r="C792" s="3">
        <v>86</v>
      </c>
      <c r="D792" s="4">
        <v>44481</v>
      </c>
      <c r="E792" t="str">
        <f>"202110126402"</f>
        <v>202110126402</v>
      </c>
      <c r="F792" t="str">
        <f>"Miscellaneo"</f>
        <v>Miscellaneo</v>
      </c>
      <c r="G792" s="3">
        <v>86</v>
      </c>
      <c r="H792" t="str">
        <f>"EMILY JEAN HINZE"</f>
        <v>EMILY JEAN HINZE</v>
      </c>
    </row>
    <row r="793" spans="1:8" x14ac:dyDescent="0.25">
      <c r="A793" t="s">
        <v>248</v>
      </c>
      <c r="B793">
        <v>137390</v>
      </c>
      <c r="C793" s="3">
        <v>6</v>
      </c>
      <c r="D793" s="4">
        <v>44481</v>
      </c>
      <c r="E793" t="str">
        <f>"202110126403"</f>
        <v>202110126403</v>
      </c>
      <c r="F793" t="str">
        <f>"Misc"</f>
        <v>Misc</v>
      </c>
      <c r="G793" s="3">
        <v>6</v>
      </c>
      <c r="H793" t="str">
        <f>"HUGO MARTINEZ HERNANDEZ"</f>
        <v>HUGO MARTINEZ HERNANDEZ</v>
      </c>
    </row>
    <row r="794" spans="1:8" x14ac:dyDescent="0.25">
      <c r="A794" t="s">
        <v>249</v>
      </c>
      <c r="B794">
        <v>137391</v>
      </c>
      <c r="C794" s="3">
        <v>6</v>
      </c>
      <c r="D794" s="4">
        <v>44481</v>
      </c>
      <c r="E794" t="str">
        <f>"202110126404"</f>
        <v>202110126404</v>
      </c>
      <c r="F794" t="str">
        <f>"Misc"</f>
        <v>Misc</v>
      </c>
      <c r="G794" s="3">
        <v>6</v>
      </c>
      <c r="H794" t="str">
        <f>"PAMELA GUTIERREZ-MORENO"</f>
        <v>PAMELA GUTIERREZ-MORENO</v>
      </c>
    </row>
    <row r="795" spans="1:8" x14ac:dyDescent="0.25">
      <c r="A795" t="s">
        <v>250</v>
      </c>
      <c r="B795">
        <v>137392</v>
      </c>
      <c r="C795" s="3">
        <v>6</v>
      </c>
      <c r="D795" s="4">
        <v>44481</v>
      </c>
      <c r="E795" t="str">
        <f>"202110126405"</f>
        <v>202110126405</v>
      </c>
      <c r="F795" t="str">
        <f>"Mis"</f>
        <v>Mis</v>
      </c>
      <c r="G795" s="3">
        <v>6</v>
      </c>
      <c r="H795" t="str">
        <f>"FRANCISCO CASTILLO RODEA"</f>
        <v>FRANCISCO CASTILLO RODEA</v>
      </c>
    </row>
    <row r="796" spans="1:8" x14ac:dyDescent="0.25">
      <c r="A796" t="s">
        <v>251</v>
      </c>
      <c r="B796">
        <v>137393</v>
      </c>
      <c r="C796" s="3">
        <v>86</v>
      </c>
      <c r="D796" s="4">
        <v>44481</v>
      </c>
      <c r="E796" t="str">
        <f>"202110126406"</f>
        <v>202110126406</v>
      </c>
      <c r="F796" t="str">
        <f>"Mi"</f>
        <v>Mi</v>
      </c>
      <c r="G796" s="3">
        <v>86</v>
      </c>
      <c r="H796" t="str">
        <f>"ESMERALDA MARIA RODRIGUEZ"</f>
        <v>ESMERALDA MARIA RODRIGUEZ</v>
      </c>
    </row>
    <row r="797" spans="1:8" x14ac:dyDescent="0.25">
      <c r="A797" t="s">
        <v>252</v>
      </c>
      <c r="B797">
        <v>137394</v>
      </c>
      <c r="C797" s="3">
        <v>86</v>
      </c>
      <c r="D797" s="4">
        <v>44481</v>
      </c>
      <c r="E797" t="str">
        <f>"202110126407"</f>
        <v>202110126407</v>
      </c>
      <c r="F797" t="str">
        <f>"Miscella"</f>
        <v>Miscella</v>
      </c>
      <c r="G797" s="3">
        <v>86</v>
      </c>
      <c r="H797" t="str">
        <f>"SARA ELIZABETH MAYS"</f>
        <v>SARA ELIZABETH MAYS</v>
      </c>
    </row>
    <row r="798" spans="1:8" x14ac:dyDescent="0.25">
      <c r="A798" t="s">
        <v>253</v>
      </c>
      <c r="B798">
        <v>137395</v>
      </c>
      <c r="C798" s="3">
        <v>6</v>
      </c>
      <c r="D798" s="4">
        <v>44481</v>
      </c>
      <c r="E798" t="str">
        <f>"202110126408"</f>
        <v>202110126408</v>
      </c>
      <c r="F798" t="str">
        <f>"Misc"</f>
        <v>Misc</v>
      </c>
      <c r="G798" s="3">
        <v>6</v>
      </c>
      <c r="H798" t="str">
        <f>"CHRYSTAL ANN MCLAUGHLIN"</f>
        <v>CHRYSTAL ANN MCLAUGHLIN</v>
      </c>
    </row>
    <row r="799" spans="1:8" x14ac:dyDescent="0.25">
      <c r="A799" t="s">
        <v>254</v>
      </c>
      <c r="B799">
        <v>137396</v>
      </c>
      <c r="C799" s="3">
        <v>6</v>
      </c>
      <c r="D799" s="4">
        <v>44481</v>
      </c>
      <c r="E799" t="str">
        <f>"202110126409"</f>
        <v>202110126409</v>
      </c>
      <c r="F799" t="str">
        <f>"Misce"</f>
        <v>Misce</v>
      </c>
      <c r="G799" s="3">
        <v>6</v>
      </c>
      <c r="H799" t="str">
        <f>"GEORGE CLIFTON WILKINS"</f>
        <v>GEORGE CLIFTON WILKINS</v>
      </c>
    </row>
    <row r="800" spans="1:8" x14ac:dyDescent="0.25">
      <c r="A800" t="s">
        <v>255</v>
      </c>
      <c r="B800">
        <v>137397</v>
      </c>
      <c r="C800" s="3">
        <v>86</v>
      </c>
      <c r="D800" s="4">
        <v>44481</v>
      </c>
      <c r="E800" t="str">
        <f>"202110126410"</f>
        <v>202110126410</v>
      </c>
      <c r="F800" t="str">
        <f>"Miscella"</f>
        <v>Miscella</v>
      </c>
      <c r="G800" s="3">
        <v>86</v>
      </c>
      <c r="H800" t="str">
        <f>"ROSARIO LORENA VEGA"</f>
        <v>ROSARIO LORENA VEGA</v>
      </c>
    </row>
    <row r="801" spans="1:8" x14ac:dyDescent="0.25">
      <c r="A801" t="s">
        <v>256</v>
      </c>
      <c r="B801">
        <v>137398</v>
      </c>
      <c r="C801" s="3">
        <v>86</v>
      </c>
      <c r="D801" s="4">
        <v>44481</v>
      </c>
      <c r="E801" t="str">
        <f>"202110126411"</f>
        <v>202110126411</v>
      </c>
      <c r="F801" t="str">
        <f>"Miscell"</f>
        <v>Miscell</v>
      </c>
      <c r="G801" s="3">
        <v>86</v>
      </c>
      <c r="H801" t="str">
        <f>"BRENDA SHERE JOHNSON"</f>
        <v>BRENDA SHERE JOHNSON</v>
      </c>
    </row>
    <row r="802" spans="1:8" x14ac:dyDescent="0.25">
      <c r="A802" t="s">
        <v>257</v>
      </c>
      <c r="B802">
        <v>137399</v>
      </c>
      <c r="C802" s="3">
        <v>6</v>
      </c>
      <c r="D802" s="4">
        <v>44481</v>
      </c>
      <c r="E802" t="str">
        <f>"202110126412"</f>
        <v>202110126412</v>
      </c>
      <c r="F802" t="str">
        <f>"Misce"</f>
        <v>Misce</v>
      </c>
      <c r="G802" s="3">
        <v>6</v>
      </c>
      <c r="H802" t="str">
        <f>"BRENDA GABRIELA RENDON"</f>
        <v>BRENDA GABRIELA RENDON</v>
      </c>
    </row>
    <row r="803" spans="1:8" x14ac:dyDescent="0.25">
      <c r="A803" t="s">
        <v>258</v>
      </c>
      <c r="B803">
        <v>137400</v>
      </c>
      <c r="C803" s="3">
        <v>6</v>
      </c>
      <c r="D803" s="4">
        <v>44481</v>
      </c>
      <c r="E803" t="str">
        <f>"202110126413"</f>
        <v>202110126413</v>
      </c>
      <c r="F803" t="str">
        <f>"Miscella"</f>
        <v>Miscella</v>
      </c>
      <c r="G803" s="3">
        <v>6</v>
      </c>
      <c r="H803" t="str">
        <f>"RUSSELL CROLL PADEN"</f>
        <v>RUSSELL CROLL PADEN</v>
      </c>
    </row>
    <row r="804" spans="1:8" x14ac:dyDescent="0.25">
      <c r="A804" t="s">
        <v>259</v>
      </c>
      <c r="B804">
        <v>137401</v>
      </c>
      <c r="C804" s="3">
        <v>6</v>
      </c>
      <c r="D804" s="4">
        <v>44481</v>
      </c>
      <c r="E804" t="str">
        <f>"202110126414"</f>
        <v>202110126414</v>
      </c>
      <c r="F804" t="str">
        <f>"Miscell"</f>
        <v>Miscell</v>
      </c>
      <c r="G804" s="3">
        <v>6</v>
      </c>
      <c r="H804" t="str">
        <f>"DORIS ALICE GONZALEZ"</f>
        <v>DORIS ALICE GONZALEZ</v>
      </c>
    </row>
    <row r="805" spans="1:8" x14ac:dyDescent="0.25">
      <c r="A805" t="s">
        <v>260</v>
      </c>
      <c r="B805">
        <v>137402</v>
      </c>
      <c r="C805" s="3">
        <v>6</v>
      </c>
      <c r="D805" s="4">
        <v>44481</v>
      </c>
      <c r="E805" t="str">
        <f>"202110126415"</f>
        <v>202110126415</v>
      </c>
      <c r="F805" t="str">
        <f>"Miscellane"</f>
        <v>Miscellane</v>
      </c>
      <c r="G805" s="3">
        <v>6</v>
      </c>
      <c r="H805" t="str">
        <f>"DAVID ALAN DUDLEY"</f>
        <v>DAVID ALAN DUDLEY</v>
      </c>
    </row>
    <row r="806" spans="1:8" x14ac:dyDescent="0.25">
      <c r="A806" t="s">
        <v>261</v>
      </c>
      <c r="B806">
        <v>137403</v>
      </c>
      <c r="C806" s="3">
        <v>6</v>
      </c>
      <c r="D806" s="4">
        <v>44481</v>
      </c>
      <c r="E806" t="str">
        <f>"202110126416"</f>
        <v>202110126416</v>
      </c>
      <c r="F806" t="str">
        <f>"Miscellan"</f>
        <v>Miscellan</v>
      </c>
      <c r="G806" s="3">
        <v>6</v>
      </c>
      <c r="H806" t="str">
        <f>"BRANDON LEE WOMACK"</f>
        <v>BRANDON LEE WOMACK</v>
      </c>
    </row>
    <row r="807" spans="1:8" x14ac:dyDescent="0.25">
      <c r="A807" t="s">
        <v>262</v>
      </c>
      <c r="B807">
        <v>137404</v>
      </c>
      <c r="C807" s="3">
        <v>6</v>
      </c>
      <c r="D807" s="4">
        <v>44481</v>
      </c>
      <c r="E807" t="str">
        <f>"202110126417"</f>
        <v>202110126417</v>
      </c>
      <c r="F807" t="str">
        <f>"Mi"</f>
        <v>Mi</v>
      </c>
      <c r="G807" s="3">
        <v>6</v>
      </c>
      <c r="H807" t="str">
        <f>"EMILY ROSE BEVERLY CANNON"</f>
        <v>EMILY ROSE BEVERLY CANNON</v>
      </c>
    </row>
    <row r="808" spans="1:8" x14ac:dyDescent="0.25">
      <c r="A808" t="s">
        <v>263</v>
      </c>
      <c r="B808">
        <v>137405</v>
      </c>
      <c r="C808" s="3">
        <v>86</v>
      </c>
      <c r="D808" s="4">
        <v>44481</v>
      </c>
      <c r="E808" t="str">
        <f>"202110126418"</f>
        <v>202110126418</v>
      </c>
      <c r="F808" t="str">
        <f>"Misc"</f>
        <v>Misc</v>
      </c>
      <c r="G808" s="3">
        <v>86</v>
      </c>
      <c r="H808" t="str">
        <f>"HOLLY LOUISE WEIDKNECHT"</f>
        <v>HOLLY LOUISE WEIDKNECHT</v>
      </c>
    </row>
    <row r="809" spans="1:8" x14ac:dyDescent="0.25">
      <c r="A809" t="s">
        <v>264</v>
      </c>
      <c r="B809">
        <v>137406</v>
      </c>
      <c r="C809" s="3">
        <v>6</v>
      </c>
      <c r="D809" s="4">
        <v>44481</v>
      </c>
      <c r="E809" t="str">
        <f>"202110126419"</f>
        <v>202110126419</v>
      </c>
      <c r="F809" t="str">
        <f>"Miscell"</f>
        <v>Miscell</v>
      </c>
      <c r="G809" s="3">
        <v>6</v>
      </c>
      <c r="H809" t="str">
        <f>"PATRICIA ANN SHELTON"</f>
        <v>PATRICIA ANN SHELTON</v>
      </c>
    </row>
    <row r="810" spans="1:8" x14ac:dyDescent="0.25">
      <c r="A810" t="s">
        <v>265</v>
      </c>
      <c r="B810">
        <v>137407</v>
      </c>
      <c r="C810" s="3">
        <v>6</v>
      </c>
      <c r="D810" s="4">
        <v>44481</v>
      </c>
      <c r="E810" t="str">
        <f>"202110126420"</f>
        <v>202110126420</v>
      </c>
      <c r="F810" t="str">
        <f>"Miscell"</f>
        <v>Miscell</v>
      </c>
      <c r="G810" s="3">
        <v>6</v>
      </c>
      <c r="H810" t="str">
        <f>"MICHAEL ANTHONY TOPE"</f>
        <v>MICHAEL ANTHONY TOPE</v>
      </c>
    </row>
    <row r="811" spans="1:8" x14ac:dyDescent="0.25">
      <c r="A811" t="s">
        <v>266</v>
      </c>
      <c r="B811">
        <v>137408</v>
      </c>
      <c r="C811" s="3">
        <v>6</v>
      </c>
      <c r="D811" s="4">
        <v>44481</v>
      </c>
      <c r="E811" t="str">
        <f>"202110126421"</f>
        <v>202110126421</v>
      </c>
      <c r="F811" t="str">
        <f>"Miscell"</f>
        <v>Miscell</v>
      </c>
      <c r="G811" s="3">
        <v>6</v>
      </c>
      <c r="H811" t="str">
        <f>"MICHAELA MARIE VANCE"</f>
        <v>MICHAELA MARIE VANCE</v>
      </c>
    </row>
    <row r="812" spans="1:8" x14ac:dyDescent="0.25">
      <c r="A812" t="s">
        <v>267</v>
      </c>
      <c r="B812">
        <v>137409</v>
      </c>
      <c r="C812" s="3">
        <v>6</v>
      </c>
      <c r="D812" s="4">
        <v>44481</v>
      </c>
      <c r="E812" t="str">
        <f>"202110126422"</f>
        <v>202110126422</v>
      </c>
      <c r="F812" t="str">
        <f>"Miscellan"</f>
        <v>Miscellan</v>
      </c>
      <c r="G812" s="3">
        <v>6</v>
      </c>
      <c r="H812" t="str">
        <f>"STELLA CUPPS PEASE"</f>
        <v>STELLA CUPPS PEASE</v>
      </c>
    </row>
    <row r="813" spans="1:8" x14ac:dyDescent="0.25">
      <c r="A813" t="s">
        <v>268</v>
      </c>
      <c r="B813">
        <v>137410</v>
      </c>
      <c r="C813" s="3">
        <v>86</v>
      </c>
      <c r="D813" s="4">
        <v>44481</v>
      </c>
      <c r="E813" t="str">
        <f>"202110126423"</f>
        <v>202110126423</v>
      </c>
      <c r="F813" t="str">
        <f>"Miscellaneous"</f>
        <v>Miscellaneous</v>
      </c>
      <c r="G813" s="3">
        <v>86</v>
      </c>
      <c r="H813" t="str">
        <f>"PAMELA FELIX"</f>
        <v>PAMELA FELIX</v>
      </c>
    </row>
    <row r="814" spans="1:8" x14ac:dyDescent="0.25">
      <c r="A814" t="s">
        <v>269</v>
      </c>
      <c r="B814">
        <v>137411</v>
      </c>
      <c r="C814" s="3">
        <v>6</v>
      </c>
      <c r="D814" s="4">
        <v>44481</v>
      </c>
      <c r="E814" t="str">
        <f>"202110126424"</f>
        <v>202110126424</v>
      </c>
      <c r="F814" t="str">
        <f>"Miscella"</f>
        <v>Miscella</v>
      </c>
      <c r="G814" s="3">
        <v>6</v>
      </c>
      <c r="H814" t="str">
        <f>"ELBERT BRADSHAW III"</f>
        <v>ELBERT BRADSHAW III</v>
      </c>
    </row>
    <row r="815" spans="1:8" x14ac:dyDescent="0.25">
      <c r="A815" t="s">
        <v>270</v>
      </c>
      <c r="B815">
        <v>137412</v>
      </c>
      <c r="C815" s="3">
        <v>6</v>
      </c>
      <c r="D815" s="4">
        <v>44481</v>
      </c>
      <c r="E815" t="str">
        <f>"202110126425"</f>
        <v>202110126425</v>
      </c>
      <c r="F815" t="str">
        <f>"Miscellaneou"</f>
        <v>Miscellaneou</v>
      </c>
      <c r="G815" s="3">
        <v>6</v>
      </c>
      <c r="H815" t="str">
        <f>"SIERRA L HARRIS"</f>
        <v>SIERRA L HARRIS</v>
      </c>
    </row>
    <row r="816" spans="1:8" x14ac:dyDescent="0.25">
      <c r="A816" t="s">
        <v>271</v>
      </c>
      <c r="B816">
        <v>137413</v>
      </c>
      <c r="C816" s="3">
        <v>86</v>
      </c>
      <c r="D816" s="4">
        <v>44481</v>
      </c>
      <c r="E816" t="str">
        <f>"202110126426"</f>
        <v>202110126426</v>
      </c>
      <c r="F816" t="str">
        <f>"Miscellan"</f>
        <v>Miscellan</v>
      </c>
      <c r="G816" s="3">
        <v>86</v>
      </c>
      <c r="H816" t="str">
        <f>"BRIAN EDWARD CAROL"</f>
        <v>BRIAN EDWARD CAROL</v>
      </c>
    </row>
    <row r="817" spans="1:8" x14ac:dyDescent="0.25">
      <c r="A817" t="s">
        <v>272</v>
      </c>
      <c r="B817">
        <v>137414</v>
      </c>
      <c r="C817" s="3">
        <v>6</v>
      </c>
      <c r="D817" s="4">
        <v>44481</v>
      </c>
      <c r="E817" t="str">
        <f>"202110126427"</f>
        <v>202110126427</v>
      </c>
      <c r="F817" t="str">
        <f>"Miscellaneous"</f>
        <v>Miscellaneous</v>
      </c>
      <c r="G817" s="3">
        <v>6</v>
      </c>
      <c r="H817" t="str">
        <f>"JOANNA LOPEZ"</f>
        <v>JOANNA LOPEZ</v>
      </c>
    </row>
    <row r="818" spans="1:8" x14ac:dyDescent="0.25">
      <c r="A818" t="s">
        <v>273</v>
      </c>
      <c r="B818">
        <v>137415</v>
      </c>
      <c r="C818" s="3">
        <v>6</v>
      </c>
      <c r="D818" s="4">
        <v>44481</v>
      </c>
      <c r="E818" t="str">
        <f>"202110126428"</f>
        <v>202110126428</v>
      </c>
      <c r="F818" t="str">
        <f>"Miscell"</f>
        <v>Miscell</v>
      </c>
      <c r="G818" s="3">
        <v>6</v>
      </c>
      <c r="H818" t="str">
        <f>"JENNIFER MARIE KURTZ"</f>
        <v>JENNIFER MARIE KURTZ</v>
      </c>
    </row>
    <row r="819" spans="1:8" x14ac:dyDescent="0.25">
      <c r="A819" t="s">
        <v>274</v>
      </c>
      <c r="B819">
        <v>137416</v>
      </c>
      <c r="C819" s="3">
        <v>6</v>
      </c>
      <c r="D819" s="4">
        <v>44481</v>
      </c>
      <c r="E819" t="str">
        <f>"202110126429"</f>
        <v>202110126429</v>
      </c>
      <c r="F819" t="str">
        <f>"Miscellane"</f>
        <v>Miscellane</v>
      </c>
      <c r="G819" s="3">
        <v>6</v>
      </c>
      <c r="H819" t="str">
        <f>"JOSHUA CUNNINGHAM"</f>
        <v>JOSHUA CUNNINGHAM</v>
      </c>
    </row>
    <row r="820" spans="1:8" x14ac:dyDescent="0.25">
      <c r="A820" t="s">
        <v>275</v>
      </c>
      <c r="B820">
        <v>137417</v>
      </c>
      <c r="C820" s="3">
        <v>6</v>
      </c>
      <c r="D820" s="4">
        <v>44481</v>
      </c>
      <c r="E820" t="str">
        <f>"202110126430"</f>
        <v>202110126430</v>
      </c>
      <c r="F820" t="str">
        <f>"Miscell"</f>
        <v>Miscell</v>
      </c>
      <c r="G820" s="3">
        <v>6</v>
      </c>
      <c r="H820" t="str">
        <f>"REBECCA MARIE BARRON"</f>
        <v>REBECCA MARIE BARRON</v>
      </c>
    </row>
    <row r="821" spans="1:8" x14ac:dyDescent="0.25">
      <c r="A821" t="s">
        <v>276</v>
      </c>
      <c r="B821">
        <v>137418</v>
      </c>
      <c r="C821" s="3">
        <v>6</v>
      </c>
      <c r="D821" s="4">
        <v>44481</v>
      </c>
      <c r="E821" t="str">
        <f>"202110126431"</f>
        <v>202110126431</v>
      </c>
      <c r="F821" t="str">
        <f>"Misce"</f>
        <v>Misce</v>
      </c>
      <c r="G821" s="3">
        <v>6</v>
      </c>
      <c r="H821" t="str">
        <f>"NELLIE DELEON MONTALVO"</f>
        <v>NELLIE DELEON MONTALVO</v>
      </c>
    </row>
    <row r="822" spans="1:8" x14ac:dyDescent="0.25">
      <c r="A822" t="s">
        <v>277</v>
      </c>
      <c r="B822">
        <v>137419</v>
      </c>
      <c r="C822" s="3">
        <v>6</v>
      </c>
      <c r="D822" s="4">
        <v>44481</v>
      </c>
      <c r="E822" t="str">
        <f>"202110126432"</f>
        <v>202110126432</v>
      </c>
      <c r="F822" t="str">
        <f>"Miscellaneous"</f>
        <v>Miscellaneous</v>
      </c>
      <c r="G822" s="3">
        <v>6</v>
      </c>
      <c r="H822" t="str">
        <f>"DANIELA LOPEZ"</f>
        <v>DANIELA LOPEZ</v>
      </c>
    </row>
    <row r="823" spans="1:8" x14ac:dyDescent="0.25">
      <c r="A823" t="s">
        <v>278</v>
      </c>
      <c r="B823">
        <v>137420</v>
      </c>
      <c r="C823" s="3">
        <v>6</v>
      </c>
      <c r="D823" s="4">
        <v>44481</v>
      </c>
      <c r="E823" t="str">
        <f>"202110126433"</f>
        <v>202110126433</v>
      </c>
      <c r="F823" t="str">
        <f>"Miscellaneou"</f>
        <v>Miscellaneou</v>
      </c>
      <c r="G823" s="3">
        <v>6</v>
      </c>
      <c r="H823" t="str">
        <f>"WILMA JEAN VEAL"</f>
        <v>WILMA JEAN VEAL</v>
      </c>
    </row>
    <row r="824" spans="1:8" x14ac:dyDescent="0.25">
      <c r="A824" t="s">
        <v>279</v>
      </c>
      <c r="B824">
        <v>137421</v>
      </c>
      <c r="C824" s="3">
        <v>6</v>
      </c>
      <c r="D824" s="4">
        <v>44481</v>
      </c>
      <c r="E824" t="str">
        <f>"202110126434"</f>
        <v>202110126434</v>
      </c>
      <c r="F824" t="str">
        <f>"Miscel"</f>
        <v>Miscel</v>
      </c>
      <c r="G824" s="3">
        <v>6</v>
      </c>
      <c r="H824" t="str">
        <f>"ERYN CORISSA HUMPHREY"</f>
        <v>ERYN CORISSA HUMPHREY</v>
      </c>
    </row>
    <row r="825" spans="1:8" x14ac:dyDescent="0.25">
      <c r="A825" t="s">
        <v>280</v>
      </c>
      <c r="B825">
        <v>137422</v>
      </c>
      <c r="C825" s="3">
        <v>6</v>
      </c>
      <c r="D825" s="4">
        <v>44481</v>
      </c>
      <c r="E825" t="str">
        <f>"202110126435"</f>
        <v>202110126435</v>
      </c>
      <c r="F825" t="str">
        <f>"Miscellaneous"</f>
        <v>Miscellaneous</v>
      </c>
      <c r="G825" s="3">
        <v>6</v>
      </c>
      <c r="H825" t="str">
        <f>"JULIA TORRES"</f>
        <v>JULIA TORRES</v>
      </c>
    </row>
    <row r="826" spans="1:8" x14ac:dyDescent="0.25">
      <c r="A826" t="s">
        <v>281</v>
      </c>
      <c r="B826">
        <v>137423</v>
      </c>
      <c r="C826" s="3">
        <v>6</v>
      </c>
      <c r="D826" s="4">
        <v>44481</v>
      </c>
      <c r="E826" t="str">
        <f>"202110126436"</f>
        <v>202110126436</v>
      </c>
      <c r="F826" t="str">
        <f>"Miscellaneo"</f>
        <v>Miscellaneo</v>
      </c>
      <c r="G826" s="3">
        <v>6</v>
      </c>
      <c r="H826" t="str">
        <f>"ULRIKE K SCHMIDT"</f>
        <v>ULRIKE K SCHMIDT</v>
      </c>
    </row>
    <row r="827" spans="1:8" x14ac:dyDescent="0.25">
      <c r="A827" t="s">
        <v>282</v>
      </c>
      <c r="B827">
        <v>137424</v>
      </c>
      <c r="C827" s="3">
        <v>6</v>
      </c>
      <c r="D827" s="4">
        <v>44481</v>
      </c>
      <c r="E827" t="str">
        <f>"202110126437"</f>
        <v>202110126437</v>
      </c>
      <c r="F827" t="str">
        <f>"Miscellane"</f>
        <v>Miscellane</v>
      </c>
      <c r="G827" s="3">
        <v>6</v>
      </c>
      <c r="H827" t="str">
        <f>"KOLTAN RAY KELLEY"</f>
        <v>KOLTAN RAY KELLEY</v>
      </c>
    </row>
    <row r="828" spans="1:8" x14ac:dyDescent="0.25">
      <c r="A828" t="s">
        <v>283</v>
      </c>
      <c r="B828">
        <v>137425</v>
      </c>
      <c r="C828" s="3">
        <v>6</v>
      </c>
      <c r="D828" s="4">
        <v>44481</v>
      </c>
      <c r="E828" t="str">
        <f>"202110126438"</f>
        <v>202110126438</v>
      </c>
      <c r="F828" t="str">
        <f>"Miscellan"</f>
        <v>Miscellan</v>
      </c>
      <c r="G828" s="3">
        <v>6</v>
      </c>
      <c r="H828" t="str">
        <f>"HAYDEN LANE HIRSCH"</f>
        <v>HAYDEN LANE HIRSCH</v>
      </c>
    </row>
    <row r="829" spans="1:8" x14ac:dyDescent="0.25">
      <c r="A829" t="s">
        <v>284</v>
      </c>
      <c r="B829">
        <v>137426</v>
      </c>
      <c r="C829" s="3">
        <v>6</v>
      </c>
      <c r="D829" s="4">
        <v>44481</v>
      </c>
      <c r="E829" t="str">
        <f>"202110126439"</f>
        <v>202110126439</v>
      </c>
      <c r="F829" t="str">
        <f>"Miscellaneou"</f>
        <v>Miscellaneou</v>
      </c>
      <c r="G829" s="3">
        <v>6</v>
      </c>
      <c r="H829" t="str">
        <f>"JILL ANN MULDER"</f>
        <v>JILL ANN MULDER</v>
      </c>
    </row>
    <row r="830" spans="1:8" x14ac:dyDescent="0.25">
      <c r="A830" t="s">
        <v>285</v>
      </c>
      <c r="B830">
        <v>137273</v>
      </c>
      <c r="C830" s="3">
        <v>50</v>
      </c>
      <c r="D830" s="4">
        <v>44481</v>
      </c>
      <c r="E830" t="s">
        <v>286</v>
      </c>
      <c r="F830" s="3" t="str">
        <f>"RESTITUTION - TINA CLAYTON"</f>
        <v>RESTITUTION - TINA CLAYTON</v>
      </c>
      <c r="G830" s="3">
        <v>50</v>
      </c>
      <c r="H830" s="3" t="str">
        <f>"RESTITUTION - TINA CLAYTON"</f>
        <v>RESTITUTION - TINA CLAYTON</v>
      </c>
    </row>
    <row r="831" spans="1:8" x14ac:dyDescent="0.25">
      <c r="A831" t="s">
        <v>287</v>
      </c>
      <c r="B831">
        <v>137274</v>
      </c>
      <c r="C831" s="3">
        <v>232.1</v>
      </c>
      <c r="D831" s="4">
        <v>44481</v>
      </c>
      <c r="E831" t="s">
        <v>288</v>
      </c>
      <c r="F831" s="3" t="str">
        <f>"RESTITUTION - OMAR CABALLERO"</f>
        <v>RESTITUTION - OMAR CABALLERO</v>
      </c>
      <c r="G831" s="3">
        <v>232.1</v>
      </c>
      <c r="H831" s="3" t="str">
        <f>"RESTITUTION - OMAR CABALLERO"</f>
        <v>RESTITUTION - OMAR CABALLERO</v>
      </c>
    </row>
    <row r="832" spans="1:8" x14ac:dyDescent="0.25">
      <c r="A832" t="s">
        <v>289</v>
      </c>
      <c r="B832">
        <v>137514</v>
      </c>
      <c r="C832" s="3">
        <v>593.75</v>
      </c>
      <c r="D832" s="4">
        <v>44494</v>
      </c>
      <c r="E832" t="str">
        <f>"STDINV00110765"</f>
        <v>STDINV00110765</v>
      </c>
      <c r="F832" t="str">
        <f>"STDINV00110765"</f>
        <v>STDINV00110765</v>
      </c>
      <c r="G832" s="3">
        <v>593.75</v>
      </c>
      <c r="H832" t="str">
        <f>"STDINV00110765"</f>
        <v>STDINV00110765</v>
      </c>
    </row>
    <row r="833" spans="1:8" x14ac:dyDescent="0.25">
      <c r="A833" t="s">
        <v>290</v>
      </c>
      <c r="B833">
        <v>137515</v>
      </c>
      <c r="C833" s="3">
        <v>29281.11</v>
      </c>
      <c r="D833" s="4">
        <v>44494</v>
      </c>
      <c r="E833" t="str">
        <f>"1188078958"</f>
        <v>1188078958</v>
      </c>
      <c r="F833" t="str">
        <f>"ACCT#1036215277/OCTOBER 2021"</f>
        <v>ACCT#1036215277/OCTOBER 2021</v>
      </c>
      <c r="G833" s="3">
        <v>25047.360000000001</v>
      </c>
      <c r="H833" t="str">
        <f>"ACCT#1036215277/OCTOBER 2021"</f>
        <v>ACCT#1036215277/OCTOBER 2021</v>
      </c>
    </row>
    <row r="834" spans="1:8" x14ac:dyDescent="0.25">
      <c r="E834" t="str">
        <f>"26367"</f>
        <v>26367</v>
      </c>
      <c r="F834" t="str">
        <f>"Motorola Mics SO"</f>
        <v>Motorola Mics SO</v>
      </c>
      <c r="G834" s="3">
        <v>498.75</v>
      </c>
      <c r="H834" t="str">
        <f>"PMMN4069AL"</f>
        <v>PMMN4069AL</v>
      </c>
    </row>
    <row r="835" spans="1:8" x14ac:dyDescent="0.25">
      <c r="E835" t="str">
        <f>"PMNN4486A/7A/448AR"</f>
        <v>PMNN4486A/7A/448AR</v>
      </c>
      <c r="F835" t="str">
        <f>"Motorola Batteries"</f>
        <v>Motorola Batteries</v>
      </c>
      <c r="G835" s="3">
        <v>1222.5</v>
      </c>
      <c r="H835" t="str">
        <f>"PMNN4486A"</f>
        <v>PMNN4486A</v>
      </c>
    </row>
    <row r="836" spans="1:8" x14ac:dyDescent="0.25">
      <c r="E836" t="str">
        <f>""</f>
        <v/>
      </c>
      <c r="F836" t="str">
        <f>""</f>
        <v/>
      </c>
      <c r="G836" s="3">
        <v>1417.5</v>
      </c>
      <c r="H836" t="str">
        <f>"PMNN4487A"</f>
        <v>PMNN4487A</v>
      </c>
    </row>
    <row r="837" spans="1:8" x14ac:dyDescent="0.25">
      <c r="E837" t="str">
        <f>""</f>
        <v/>
      </c>
      <c r="F837" t="str">
        <f>""</f>
        <v/>
      </c>
      <c r="G837" s="3">
        <v>1095</v>
      </c>
      <c r="H837" t="str">
        <f>"PMNN4448AR"</f>
        <v>PMNN4448AR</v>
      </c>
    </row>
    <row r="838" spans="1:8" x14ac:dyDescent="0.25">
      <c r="A838" t="s">
        <v>291</v>
      </c>
      <c r="B838">
        <v>137516</v>
      </c>
      <c r="C838" s="3">
        <v>30</v>
      </c>
      <c r="D838" s="4">
        <v>44494</v>
      </c>
      <c r="E838" t="str">
        <f>"202110156547"</f>
        <v>202110156547</v>
      </c>
      <c r="F838" t="str">
        <f>"REIMBURSE COUPONS"</f>
        <v>REIMBURSE COUPONS</v>
      </c>
      <c r="G838" s="3">
        <v>30</v>
      </c>
      <c r="H838" t="str">
        <f>"REIMBURSE COUPONS"</f>
        <v>REIMBURSE COUPONS</v>
      </c>
    </row>
    <row r="839" spans="1:8" x14ac:dyDescent="0.25">
      <c r="A839" t="s">
        <v>292</v>
      </c>
      <c r="B839">
        <v>137275</v>
      </c>
      <c r="C839" s="3">
        <v>1000</v>
      </c>
      <c r="D839" s="4">
        <v>44481</v>
      </c>
      <c r="E839" t="str">
        <f>"202110056080"</f>
        <v>202110056080</v>
      </c>
      <c r="F839" t="str">
        <f>"RELIEF VET/25 HRS"</f>
        <v>RELIEF VET/25 HRS</v>
      </c>
      <c r="G839" s="3">
        <v>1000</v>
      </c>
      <c r="H839" t="str">
        <f>"RELIEF VET/25 HRS"</f>
        <v>RELIEF VET/25 HRS</v>
      </c>
    </row>
    <row r="840" spans="1:8" x14ac:dyDescent="0.25">
      <c r="A840" t="s">
        <v>293</v>
      </c>
      <c r="B840">
        <v>5177</v>
      </c>
      <c r="C840" s="3">
        <v>10693.71</v>
      </c>
      <c r="D840" s="4">
        <v>44482</v>
      </c>
      <c r="E840" t="str">
        <f>"IN0865719"</f>
        <v>IN0865719</v>
      </c>
      <c r="F840" t="str">
        <f>"INV IN0865719"</f>
        <v>INV IN0865719</v>
      </c>
      <c r="G840" s="3">
        <v>6989.31</v>
      </c>
      <c r="H840" t="str">
        <f>"INV IN0865719"</f>
        <v>INV IN0865719</v>
      </c>
    </row>
    <row r="841" spans="1:8" x14ac:dyDescent="0.25">
      <c r="E841" t="str">
        <f>"IN0866009"</f>
        <v>IN0866009</v>
      </c>
      <c r="F841" t="str">
        <f>"INV IN0866009"</f>
        <v>INV IN0866009</v>
      </c>
      <c r="G841" s="3">
        <v>3704.4</v>
      </c>
      <c r="H841" t="str">
        <f>"INV IN0866009"</f>
        <v>INV IN0866009</v>
      </c>
    </row>
    <row r="842" spans="1:8" x14ac:dyDescent="0.25">
      <c r="A842" t="s">
        <v>293</v>
      </c>
      <c r="B842">
        <v>5254</v>
      </c>
      <c r="C842" s="3">
        <v>10697.58</v>
      </c>
      <c r="D842" s="4">
        <v>44495</v>
      </c>
      <c r="E842" t="str">
        <f>"IN0865644/CM091361"</f>
        <v>IN0865644/CM091361</v>
      </c>
      <c r="F842" t="str">
        <f>"INV IN0865644  CM0913617"</f>
        <v>INV IN0865644  CM0913617</v>
      </c>
      <c r="G842" s="3">
        <v>6357.12</v>
      </c>
      <c r="H842" t="str">
        <f>"INV IN0865644"</f>
        <v>INV IN0865644</v>
      </c>
    </row>
    <row r="843" spans="1:8" x14ac:dyDescent="0.25">
      <c r="E843" t="str">
        <f>""</f>
        <v/>
      </c>
      <c r="F843" t="str">
        <f>""</f>
        <v/>
      </c>
      <c r="G843" s="3">
        <v>-182.58</v>
      </c>
      <c r="H843" t="str">
        <f>"INV CM0913617"</f>
        <v>INV CM0913617</v>
      </c>
    </row>
    <row r="844" spans="1:8" x14ac:dyDescent="0.25">
      <c r="E844" t="str">
        <f>"IN0866004/IN086630"</f>
        <v>IN0866004/IN086630</v>
      </c>
      <c r="F844" t="str">
        <f>"INV IN0866004  IN0866301"</f>
        <v>INV IN0866004  IN0866301</v>
      </c>
      <c r="G844" s="3">
        <v>1542.24</v>
      </c>
      <c r="H844" t="str">
        <f>"INV IN0866004"</f>
        <v>INV IN0866004</v>
      </c>
    </row>
    <row r="845" spans="1:8" x14ac:dyDescent="0.25">
      <c r="E845" t="str">
        <f>""</f>
        <v/>
      </c>
      <c r="F845" t="str">
        <f>""</f>
        <v/>
      </c>
      <c r="G845" s="3">
        <v>2980.8</v>
      </c>
      <c r="H845" t="str">
        <f>"INV IN0866301"</f>
        <v>INV IN0866301</v>
      </c>
    </row>
    <row r="846" spans="1:8" x14ac:dyDescent="0.25">
      <c r="A846" t="s">
        <v>294</v>
      </c>
      <c r="B846">
        <v>137517</v>
      </c>
      <c r="C846" s="3">
        <v>98384</v>
      </c>
      <c r="D846" s="4">
        <v>44494</v>
      </c>
      <c r="E846" t="str">
        <f>"202110206645"</f>
        <v>202110206645</v>
      </c>
      <c r="F846" t="str">
        <f>"NATIONWIDE CAPITAL  LLC"</f>
        <v>NATIONWIDE CAPITAL  LLC</v>
      </c>
      <c r="G846" s="3">
        <v>98384</v>
      </c>
      <c r="H846" t="str">
        <f>"Annual Installment"</f>
        <v>Annual Installment</v>
      </c>
    </row>
    <row r="847" spans="1:8" x14ac:dyDescent="0.25">
      <c r="A847" t="s">
        <v>295</v>
      </c>
      <c r="B847">
        <v>137518</v>
      </c>
      <c r="C847" s="3">
        <v>120</v>
      </c>
      <c r="D847" s="4">
        <v>44494</v>
      </c>
      <c r="E847" t="str">
        <f>"202110156540"</f>
        <v>202110156540</v>
      </c>
      <c r="F847" t="str">
        <f>"ACTIVE MEMBERSHIP-HILLARY LONG"</f>
        <v>ACTIVE MEMBERSHIP-HILLARY LONG</v>
      </c>
      <c r="G847" s="3">
        <v>120</v>
      </c>
      <c r="H847" t="str">
        <f>"ACTIVE MEMBERSHIP-HILLARY LONG"</f>
        <v>ACTIVE MEMBERSHIP-HILLARY LONG</v>
      </c>
    </row>
    <row r="848" spans="1:8" x14ac:dyDescent="0.25">
      <c r="A848" t="s">
        <v>296</v>
      </c>
      <c r="B848">
        <v>137276</v>
      </c>
      <c r="C848" s="3">
        <v>142</v>
      </c>
      <c r="D848" s="4">
        <v>44481</v>
      </c>
      <c r="E848" t="str">
        <f>"30060373"</f>
        <v>30060373</v>
      </c>
      <c r="F848" t="str">
        <f>"Invoice #300060373"</f>
        <v>Invoice #300060373</v>
      </c>
      <c r="G848" s="3">
        <v>142</v>
      </c>
      <c r="H848" t="str">
        <f>"Invoice #300060373"</f>
        <v>Invoice #300060373</v>
      </c>
    </row>
    <row r="849" spans="1:8" x14ac:dyDescent="0.25">
      <c r="A849" t="s">
        <v>297</v>
      </c>
      <c r="B849">
        <v>5238</v>
      </c>
      <c r="C849" s="3">
        <v>78.72</v>
      </c>
      <c r="D849" s="4">
        <v>44482</v>
      </c>
      <c r="E849" t="str">
        <f>"0581-330837"</f>
        <v>0581-330837</v>
      </c>
      <c r="F849" t="str">
        <f>"INV 0581-330837"</f>
        <v>INV 0581-330837</v>
      </c>
      <c r="G849" s="3">
        <v>25.64</v>
      </c>
      <c r="H849" t="str">
        <f>"INV 0581-330837"</f>
        <v>INV 0581-330837</v>
      </c>
    </row>
    <row r="850" spans="1:8" x14ac:dyDescent="0.25">
      <c r="E850" t="str">
        <f>"202110066111"</f>
        <v>202110066111</v>
      </c>
      <c r="F850" t="str">
        <f>"CUST#1772018"</f>
        <v>CUST#1772018</v>
      </c>
      <c r="G850" s="3">
        <v>53.08</v>
      </c>
      <c r="H850" t="str">
        <f>"CUST#1772018"</f>
        <v>CUST#1772018</v>
      </c>
    </row>
    <row r="851" spans="1:8" x14ac:dyDescent="0.25">
      <c r="A851" t="s">
        <v>297</v>
      </c>
      <c r="B851">
        <v>5314</v>
      </c>
      <c r="C851" s="3">
        <v>7.31</v>
      </c>
      <c r="D851" s="4">
        <v>44495</v>
      </c>
      <c r="E851" t="str">
        <f>"0581-334965"</f>
        <v>0581-334965</v>
      </c>
      <c r="F851" t="str">
        <f>"INV 0581-334965"</f>
        <v>INV 0581-334965</v>
      </c>
      <c r="G851" s="3">
        <v>7.31</v>
      </c>
      <c r="H851" t="str">
        <f>"INV 0581-334965"</f>
        <v>INV 0581-334965</v>
      </c>
    </row>
    <row r="852" spans="1:8" x14ac:dyDescent="0.25">
      <c r="A852" t="s">
        <v>298</v>
      </c>
      <c r="B852">
        <v>137277</v>
      </c>
      <c r="C852" s="3">
        <v>1839.63</v>
      </c>
      <c r="D852" s="4">
        <v>44481</v>
      </c>
      <c r="E852" t="str">
        <f>"19783125"</f>
        <v>19783125</v>
      </c>
      <c r="F852" t="str">
        <f>"FY 21-22"</f>
        <v>FY 21-22</v>
      </c>
      <c r="G852" s="3">
        <v>118</v>
      </c>
      <c r="H852" t="str">
        <f>"201380906001"</f>
        <v>201380906001</v>
      </c>
    </row>
    <row r="853" spans="1:8" x14ac:dyDescent="0.25">
      <c r="E853" t="str">
        <f>""</f>
        <v/>
      </c>
      <c r="F853" t="str">
        <f>""</f>
        <v/>
      </c>
      <c r="G853" s="3">
        <v>5.89</v>
      </c>
      <c r="H853" t="str">
        <f>"201382691001"</f>
        <v>201382691001</v>
      </c>
    </row>
    <row r="854" spans="1:8" x14ac:dyDescent="0.25">
      <c r="E854" t="str">
        <f>"19783125-1"</f>
        <v>19783125-1</v>
      </c>
      <c r="F854" t="str">
        <f>"FY 20-21"</f>
        <v>FY 20-21</v>
      </c>
      <c r="G854" s="3">
        <v>69.98</v>
      </c>
      <c r="H854" t="str">
        <f>"200584734001"</f>
        <v>200584734001</v>
      </c>
    </row>
    <row r="855" spans="1:8" x14ac:dyDescent="0.25">
      <c r="E855" t="str">
        <f>""</f>
        <v/>
      </c>
      <c r="F855" t="str">
        <f>""</f>
        <v/>
      </c>
      <c r="G855" s="3">
        <v>689.99</v>
      </c>
      <c r="H855" t="str">
        <f>"201253845001"</f>
        <v>201253845001</v>
      </c>
    </row>
    <row r="856" spans="1:8" x14ac:dyDescent="0.25">
      <c r="E856" t="str">
        <f>""</f>
        <v/>
      </c>
      <c r="F856" t="str">
        <f>""</f>
        <v/>
      </c>
      <c r="G856" s="3">
        <v>76.180000000000007</v>
      </c>
      <c r="H856" t="str">
        <f>"201254096001"</f>
        <v>201254096001</v>
      </c>
    </row>
    <row r="857" spans="1:8" x14ac:dyDescent="0.25">
      <c r="E857" t="str">
        <f>""</f>
        <v/>
      </c>
      <c r="F857" t="str">
        <f>""</f>
        <v/>
      </c>
      <c r="G857" s="3">
        <v>138.52000000000001</v>
      </c>
      <c r="H857" t="str">
        <f>"201155670001"</f>
        <v>201155670001</v>
      </c>
    </row>
    <row r="858" spans="1:8" x14ac:dyDescent="0.25">
      <c r="E858" t="str">
        <f>""</f>
        <v/>
      </c>
      <c r="F858" t="str">
        <f>""</f>
        <v/>
      </c>
      <c r="G858" s="3">
        <v>3.29</v>
      </c>
      <c r="H858" t="str">
        <f>"201155670002"</f>
        <v>201155670002</v>
      </c>
    </row>
    <row r="859" spans="1:8" x14ac:dyDescent="0.25">
      <c r="E859" t="str">
        <f>""</f>
        <v/>
      </c>
      <c r="F859" t="str">
        <f>""</f>
        <v/>
      </c>
      <c r="G859" s="3">
        <v>131.94999999999999</v>
      </c>
      <c r="H859" t="str">
        <f>"201229296001"</f>
        <v>201229296001</v>
      </c>
    </row>
    <row r="860" spans="1:8" x14ac:dyDescent="0.25">
      <c r="E860" t="str">
        <f>""</f>
        <v/>
      </c>
      <c r="F860" t="str">
        <f>""</f>
        <v/>
      </c>
      <c r="G860" s="3">
        <v>199.99</v>
      </c>
      <c r="H860" t="str">
        <f>"202572627001"</f>
        <v>202572627001</v>
      </c>
    </row>
    <row r="861" spans="1:8" x14ac:dyDescent="0.25">
      <c r="E861" t="str">
        <f>""</f>
        <v/>
      </c>
      <c r="F861" t="str">
        <f>""</f>
        <v/>
      </c>
      <c r="G861" s="3">
        <v>578.9</v>
      </c>
      <c r="H861" t="str">
        <f>"195475579001"</f>
        <v>195475579001</v>
      </c>
    </row>
    <row r="862" spans="1:8" x14ac:dyDescent="0.25">
      <c r="E862" t="str">
        <f>""</f>
        <v/>
      </c>
      <c r="F862" t="str">
        <f>""</f>
        <v/>
      </c>
      <c r="G862" s="3">
        <v>12.45</v>
      </c>
      <c r="H862" t="str">
        <f>"195475579002"</f>
        <v>195475579002</v>
      </c>
    </row>
    <row r="863" spans="1:8" x14ac:dyDescent="0.25">
      <c r="E863" t="str">
        <f>""</f>
        <v/>
      </c>
      <c r="F863" t="str">
        <f>""</f>
        <v/>
      </c>
      <c r="G863" s="3">
        <v>11.97</v>
      </c>
      <c r="H863" t="str">
        <f>"195506396001"</f>
        <v>195506396001</v>
      </c>
    </row>
    <row r="864" spans="1:8" x14ac:dyDescent="0.25">
      <c r="E864" t="str">
        <f>""</f>
        <v/>
      </c>
      <c r="F864" t="str">
        <f>""</f>
        <v/>
      </c>
      <c r="G864" s="3">
        <v>30.49</v>
      </c>
      <c r="H864" t="str">
        <f>"195506400001"</f>
        <v>195506400001</v>
      </c>
    </row>
    <row r="865" spans="1:8" x14ac:dyDescent="0.25">
      <c r="E865" t="str">
        <f>""</f>
        <v/>
      </c>
      <c r="F865" t="str">
        <f>""</f>
        <v/>
      </c>
      <c r="G865" s="3">
        <v>19.170000000000002</v>
      </c>
      <c r="H865" t="str">
        <f>"200269645001"</f>
        <v>200269645001</v>
      </c>
    </row>
    <row r="866" spans="1:8" x14ac:dyDescent="0.25">
      <c r="E866" t="str">
        <f>""</f>
        <v/>
      </c>
      <c r="F866" t="str">
        <f>""</f>
        <v/>
      </c>
      <c r="G866" s="3">
        <v>50.93</v>
      </c>
      <c r="H866" t="str">
        <f>"202178691001"</f>
        <v>202178691001</v>
      </c>
    </row>
    <row r="867" spans="1:8" x14ac:dyDescent="0.25">
      <c r="E867" t="str">
        <f>""</f>
        <v/>
      </c>
      <c r="F867" t="str">
        <f>""</f>
        <v/>
      </c>
      <c r="G867" s="3">
        <v>-298.07</v>
      </c>
      <c r="H867" t="str">
        <f>"196185743001"</f>
        <v>196185743001</v>
      </c>
    </row>
    <row r="868" spans="1:8" x14ac:dyDescent="0.25">
      <c r="A868" t="s">
        <v>299</v>
      </c>
      <c r="B868">
        <v>137519</v>
      </c>
      <c r="C868" s="3">
        <v>2556</v>
      </c>
      <c r="D868" s="4">
        <v>44494</v>
      </c>
      <c r="E868" t="str">
        <f>"321-001011"</f>
        <v>321-001011</v>
      </c>
      <c r="F868" t="str">
        <f>"3RD QRTR ACTIVITY-JP#1"</f>
        <v>3RD QRTR ACTIVITY-JP#1</v>
      </c>
      <c r="G868" s="3">
        <v>588</v>
      </c>
      <c r="H868" t="str">
        <f>"3RD QRTR ACTIVITY-JP#1"</f>
        <v>3RD QRTR ACTIVITY-JP#1</v>
      </c>
    </row>
    <row r="869" spans="1:8" x14ac:dyDescent="0.25">
      <c r="E869" t="str">
        <f>"321-002011"</f>
        <v>321-002011</v>
      </c>
      <c r="F869" t="str">
        <f>"3RD QTR ACTIVITY/JP#2"</f>
        <v>3RD QTR ACTIVITY/JP#2</v>
      </c>
      <c r="G869" s="3">
        <v>840</v>
      </c>
      <c r="H869" t="str">
        <f>"3RD QTR ACTIVITY/JP#2"</f>
        <v>3RD QTR ACTIVITY/JP#2</v>
      </c>
    </row>
    <row r="870" spans="1:8" x14ac:dyDescent="0.25">
      <c r="E870" t="str">
        <f>"321-003011"</f>
        <v>321-003011</v>
      </c>
      <c r="F870" t="str">
        <f>"3RD QRTR ACTIVITY/JP#3"</f>
        <v>3RD QRTR ACTIVITY/JP#3</v>
      </c>
      <c r="G870" s="3">
        <v>492</v>
      </c>
      <c r="H870" t="str">
        <f>"3RD QRTR ACTIVITY/JUL-AUG"</f>
        <v>3RD QRTR ACTIVITY/JUL-AUG</v>
      </c>
    </row>
    <row r="871" spans="1:8" x14ac:dyDescent="0.25">
      <c r="E871" t="str">
        <f>"321-004011"</f>
        <v>321-004011</v>
      </c>
      <c r="F871" t="str">
        <f>"3RD QTR ACTIVITY-JP#4"</f>
        <v>3RD QTR ACTIVITY-JP#4</v>
      </c>
      <c r="G871" s="3">
        <v>636</v>
      </c>
      <c r="H871" t="str">
        <f>"3RD QTR ACTIVITY-JP#4"</f>
        <v>3RD QTR ACTIVITY-JP#4</v>
      </c>
    </row>
    <row r="872" spans="1:8" x14ac:dyDescent="0.25">
      <c r="A872" t="s">
        <v>300</v>
      </c>
      <c r="B872">
        <v>5178</v>
      </c>
      <c r="C872" s="3">
        <v>63857.35</v>
      </c>
      <c r="D872" s="4">
        <v>44482</v>
      </c>
      <c r="E872" t="str">
        <f>"21481"</f>
        <v>21481</v>
      </c>
      <c r="F872" t="str">
        <f>"ASPHALT EMULSION/PCT#2"</f>
        <v>ASPHALT EMULSION/PCT#2</v>
      </c>
      <c r="G872" s="3">
        <v>33013.599999999999</v>
      </c>
      <c r="H872" t="str">
        <f>"ASPHALT EMULSION/PCT#2"</f>
        <v>ASPHALT EMULSION/PCT#2</v>
      </c>
    </row>
    <row r="873" spans="1:8" x14ac:dyDescent="0.25">
      <c r="E873" t="str">
        <f>"21486"</f>
        <v>21486</v>
      </c>
      <c r="F873" t="str">
        <f>"ASPHALT EMULSION/PCT#1"</f>
        <v>ASPHALT EMULSION/PCT#1</v>
      </c>
      <c r="G873" s="3">
        <v>15923.09</v>
      </c>
      <c r="H873" t="str">
        <f>"ASPHALT EMULSION/PCT#1"</f>
        <v>ASPHALT EMULSION/PCT#1</v>
      </c>
    </row>
    <row r="874" spans="1:8" x14ac:dyDescent="0.25">
      <c r="E874" t="str">
        <f>"21499"</f>
        <v>21499</v>
      </c>
      <c r="F874" t="str">
        <f>"ASPHALT EMULSION/PCT#2"</f>
        <v>ASPHALT EMULSION/PCT#2</v>
      </c>
      <c r="G874" s="3">
        <v>14920.66</v>
      </c>
      <c r="H874" t="str">
        <f>"ASPHALT EMULSION/PCT#2"</f>
        <v>ASPHALT EMULSION/PCT#2</v>
      </c>
    </row>
    <row r="875" spans="1:8" x14ac:dyDescent="0.25">
      <c r="A875" t="s">
        <v>300</v>
      </c>
      <c r="B875">
        <v>5256</v>
      </c>
      <c r="C875" s="3">
        <v>17773.27</v>
      </c>
      <c r="D875" s="4">
        <v>44495</v>
      </c>
      <c r="E875" t="str">
        <f>"21529"</f>
        <v>21529</v>
      </c>
      <c r="F875" t="str">
        <f>"ASPHALT EMULSION/PCT#1"</f>
        <v>ASPHALT EMULSION/PCT#1</v>
      </c>
      <c r="G875" s="3">
        <v>17773.27</v>
      </c>
      <c r="H875" t="str">
        <f>"ASPHALT EMULSION/PCT#1"</f>
        <v>ASPHALT EMULSION/PCT#1</v>
      </c>
    </row>
    <row r="876" spans="1:8" x14ac:dyDescent="0.25">
      <c r="A876" t="s">
        <v>301</v>
      </c>
      <c r="B876">
        <v>137520</v>
      </c>
      <c r="C876" s="3">
        <v>274.7</v>
      </c>
      <c r="D876" s="4">
        <v>44494</v>
      </c>
      <c r="E876" t="str">
        <f>"0004425"</f>
        <v>0004425</v>
      </c>
      <c r="F876" t="str">
        <f>"CALL/EMAIL/MEETINGS/DOUBLE EAG"</f>
        <v>CALL/EMAIL/MEETINGS/DOUBLE EAG</v>
      </c>
      <c r="G876" s="3">
        <v>274.7</v>
      </c>
      <c r="H876" t="str">
        <f>"CALL/EMAIL/MEETINGS/DOUBLE EAG"</f>
        <v>CALL/EMAIL/MEETINGS/DOUBLE EAG</v>
      </c>
    </row>
    <row r="877" spans="1:8" x14ac:dyDescent="0.25">
      <c r="A877" t="s">
        <v>302</v>
      </c>
      <c r="B877">
        <v>137521</v>
      </c>
      <c r="C877" s="3">
        <v>793.26</v>
      </c>
      <c r="D877" s="4">
        <v>44494</v>
      </c>
      <c r="E877" t="str">
        <f>"86202"</f>
        <v>86202</v>
      </c>
      <c r="F877" t="str">
        <f>"ORD#222/PCT#2"</f>
        <v>ORD#222/PCT#2</v>
      </c>
      <c r="G877" s="3">
        <v>793.26</v>
      </c>
      <c r="H877" t="str">
        <f>"ORD#222/PCT#2"</f>
        <v>ORD#222/PCT#2</v>
      </c>
    </row>
    <row r="878" spans="1:8" x14ac:dyDescent="0.25">
      <c r="A878" t="s">
        <v>303</v>
      </c>
      <c r="B878">
        <v>5290</v>
      </c>
      <c r="C878" s="3">
        <v>145</v>
      </c>
      <c r="D878" s="4">
        <v>44495</v>
      </c>
      <c r="E878" t="str">
        <f>"0000059992"</f>
        <v>0000059992</v>
      </c>
      <c r="F878" t="str">
        <f>"INV 0000059992"</f>
        <v>INV 0000059992</v>
      </c>
      <c r="G878" s="3">
        <v>145</v>
      </c>
      <c r="H878" t="str">
        <f>"INV 0000059992"</f>
        <v>INV 0000059992</v>
      </c>
    </row>
    <row r="879" spans="1:8" x14ac:dyDescent="0.25">
      <c r="A879" t="s">
        <v>304</v>
      </c>
      <c r="B879">
        <v>137278</v>
      </c>
      <c r="C879" s="3">
        <v>509.7</v>
      </c>
      <c r="D879" s="4">
        <v>44481</v>
      </c>
      <c r="E879" t="str">
        <f>"Q9227"</f>
        <v>Q9227</v>
      </c>
      <c r="F879" t="str">
        <f>"BARRICADES/PCT#1"</f>
        <v>BARRICADES/PCT#1</v>
      </c>
      <c r="G879" s="3">
        <v>509.7</v>
      </c>
      <c r="H879" t="str">
        <f>"BARRICADES/PCT#1"</f>
        <v>BARRICADES/PCT#1</v>
      </c>
    </row>
    <row r="880" spans="1:8" x14ac:dyDescent="0.25">
      <c r="A880" t="s">
        <v>304</v>
      </c>
      <c r="B880">
        <v>137522</v>
      </c>
      <c r="C880" s="3">
        <v>509.7</v>
      </c>
      <c r="D880" s="4">
        <v>44494</v>
      </c>
      <c r="E880" t="str">
        <f>"10915"</f>
        <v>10915</v>
      </c>
      <c r="F880" t="str">
        <f>"SO#10915/BARRICADE/PCT#1"</f>
        <v>SO#10915/BARRICADE/PCT#1</v>
      </c>
      <c r="G880" s="3">
        <v>509.7</v>
      </c>
      <c r="H880" t="str">
        <f>"SO#10915/BARRICADE/PCT#1"</f>
        <v>SO#10915/BARRICADE/PCT#1</v>
      </c>
    </row>
    <row r="881" spans="1:8" x14ac:dyDescent="0.25">
      <c r="A881" t="s">
        <v>305</v>
      </c>
      <c r="B881">
        <v>5187</v>
      </c>
      <c r="C881" s="3">
        <v>7710.85</v>
      </c>
      <c r="D881" s="4">
        <v>44482</v>
      </c>
      <c r="E881" t="str">
        <f>"2008491"</f>
        <v>2008491</v>
      </c>
      <c r="F881" t="str">
        <f>"ACCT#BA-CNTY-01/RELOCATED J BO"</f>
        <v>ACCT#BA-CNTY-01/RELOCATED J BO</v>
      </c>
      <c r="G881" s="3">
        <v>2668.7</v>
      </c>
      <c r="H881" t="str">
        <f>"ACCT#BA-CNTY-01/RELOCATED J BO"</f>
        <v>ACCT#BA-CNTY-01/RELOCATED J BO</v>
      </c>
    </row>
    <row r="882" spans="1:8" x14ac:dyDescent="0.25">
      <c r="E882" t="str">
        <f>"2008492"</f>
        <v>2008492</v>
      </c>
      <c r="F882" t="str">
        <f>"ACCT#BA-CNTY-01/WALL PACK LGHT"</f>
        <v>ACCT#BA-CNTY-01/WALL PACK LGHT</v>
      </c>
      <c r="G882" s="3">
        <v>2995.6</v>
      </c>
      <c r="H882" t="str">
        <f>"ACCT#BA-CNTY-01/WALL PACK LGHT"</f>
        <v>ACCT#BA-CNTY-01/WALL PACK LGHT</v>
      </c>
    </row>
    <row r="883" spans="1:8" x14ac:dyDescent="0.25">
      <c r="E883" t="str">
        <f>"2008493"</f>
        <v>2008493</v>
      </c>
      <c r="F883" t="str">
        <f>"ACCT#BA-CNTY-01/OUTLET"</f>
        <v>ACCT#BA-CNTY-01/OUTLET</v>
      </c>
      <c r="G883" s="3">
        <v>1558.85</v>
      </c>
      <c r="H883" t="str">
        <f>"ACCT#BA-CNTY-01/OUTLET"</f>
        <v>ACCT#BA-CNTY-01/OUTLET</v>
      </c>
    </row>
    <row r="884" spans="1:8" x14ac:dyDescent="0.25">
      <c r="E884" t="str">
        <f>"2008494"</f>
        <v>2008494</v>
      </c>
      <c r="F884" t="str">
        <f>"BA-CNTY-01/OUTLET FOR PRINTER"</f>
        <v>BA-CNTY-01/OUTLET FOR PRINTER</v>
      </c>
      <c r="G884" s="3">
        <v>487.7</v>
      </c>
      <c r="H884" t="str">
        <f>"BA-CNTY-01/OUTLET FOR PRINTER"</f>
        <v>BA-CNTY-01/OUTLET FOR PRINTER</v>
      </c>
    </row>
    <row r="885" spans="1:8" x14ac:dyDescent="0.25">
      <c r="A885" t="s">
        <v>306</v>
      </c>
      <c r="B885">
        <v>137279</v>
      </c>
      <c r="C885" s="3">
        <v>2657.58</v>
      </c>
      <c r="D885" s="4">
        <v>44481</v>
      </c>
      <c r="E885" t="str">
        <f>"202110056083"</f>
        <v>202110056083</v>
      </c>
      <c r="F885" t="str">
        <f>"ACCT#0200140783/ANIMAL CONTROL"</f>
        <v>ACCT#0200140783/ANIMAL CONTROL</v>
      </c>
      <c r="G885" s="3">
        <v>1697.58</v>
      </c>
      <c r="H885" t="str">
        <f>"ACCT#0200140783/ANIMAL CONTROL"</f>
        <v>ACCT#0200140783/ANIMAL CONTROL</v>
      </c>
    </row>
    <row r="886" spans="1:8" x14ac:dyDescent="0.25">
      <c r="E886" t="str">
        <f>""</f>
        <v/>
      </c>
      <c r="F886" t="str">
        <f>""</f>
        <v/>
      </c>
      <c r="G886" s="3">
        <v>960</v>
      </c>
      <c r="H886" t="str">
        <f>"ACCT#0200140783/ANIMAL CONTROL"</f>
        <v>ACCT#0200140783/ANIMAL CONTROL</v>
      </c>
    </row>
    <row r="887" spans="1:8" x14ac:dyDescent="0.25">
      <c r="A887" t="s">
        <v>307</v>
      </c>
      <c r="B887">
        <v>137280</v>
      </c>
      <c r="C887" s="3">
        <v>10000</v>
      </c>
      <c r="D887" s="4">
        <v>44481</v>
      </c>
      <c r="E887" t="str">
        <f>"441467"</f>
        <v>441467</v>
      </c>
      <c r="F887" t="str">
        <f>"CLIENT#20442/INTERIM BILLING"</f>
        <v>CLIENT#20442/INTERIM BILLING</v>
      </c>
      <c r="G887" s="3">
        <v>10000</v>
      </c>
      <c r="H887" t="str">
        <f>"CLIENT#20442/INTERIM BILLING"</f>
        <v>CLIENT#20442/INTERIM BILLING</v>
      </c>
    </row>
    <row r="888" spans="1:8" x14ac:dyDescent="0.25">
      <c r="A888" t="s">
        <v>308</v>
      </c>
      <c r="B888">
        <v>5184</v>
      </c>
      <c r="C888" s="3">
        <v>708.5</v>
      </c>
      <c r="D888" s="4">
        <v>44482</v>
      </c>
      <c r="E888" t="str">
        <f>"202110066106"</f>
        <v>202110066106</v>
      </c>
      <c r="F888" t="str">
        <f>"TRASH REMOVAL/PAUL GRANADO"</f>
        <v>TRASH REMOVAL/PAUL GRANADO</v>
      </c>
      <c r="G888" s="3">
        <v>318.5</v>
      </c>
      <c r="H888" t="str">
        <f>"TRASH REMOVAL/PAUL GRANADO"</f>
        <v>TRASH REMOVAL/PAUL GRANADO</v>
      </c>
    </row>
    <row r="889" spans="1:8" x14ac:dyDescent="0.25">
      <c r="E889" t="str">
        <f>"202110066107"</f>
        <v>202110066107</v>
      </c>
      <c r="F889" t="str">
        <f>"TRASH REMOVAL/PAUL GRANADO"</f>
        <v>TRASH REMOVAL/PAUL GRANADO</v>
      </c>
      <c r="G889" s="3">
        <v>390</v>
      </c>
      <c r="H889" t="str">
        <f>"TRASH REMOVAL/PAUL GRANADO"</f>
        <v>TRASH REMOVAL/PAUL GRANADO</v>
      </c>
    </row>
    <row r="890" spans="1:8" x14ac:dyDescent="0.25">
      <c r="A890" t="s">
        <v>308</v>
      </c>
      <c r="B890">
        <v>5262</v>
      </c>
      <c r="C890" s="3">
        <v>624</v>
      </c>
      <c r="D890" s="4">
        <v>44495</v>
      </c>
      <c r="E890" t="str">
        <f>"202110196611"</f>
        <v>202110196611</v>
      </c>
      <c r="F890" t="str">
        <f>"TRASH REMOVAL 101021-102121/P4"</f>
        <v>TRASH REMOVAL 101021-102121/P4</v>
      </c>
      <c r="G890" s="3">
        <v>624</v>
      </c>
      <c r="H890" t="str">
        <f>"TRASH REMOVAL 101021-102121/P4"</f>
        <v>TRASH REMOVAL 101021-102121/P4</v>
      </c>
    </row>
    <row r="891" spans="1:8" x14ac:dyDescent="0.25">
      <c r="A891" t="s">
        <v>309</v>
      </c>
      <c r="B891">
        <v>137523</v>
      </c>
      <c r="C891" s="3">
        <v>51</v>
      </c>
      <c r="D891" s="4">
        <v>44494</v>
      </c>
      <c r="E891" t="str">
        <f>"202110156550"</f>
        <v>202110156550</v>
      </c>
      <c r="F891" t="str">
        <f>"REFUND FILING FEE"</f>
        <v>REFUND FILING FEE</v>
      </c>
      <c r="G891" s="3">
        <v>10.119999999999999</v>
      </c>
      <c r="H891" t="str">
        <f t="shared" ref="H891:H896" si="13">"REFUND FILING FEE"</f>
        <v>REFUND FILING FEE</v>
      </c>
    </row>
    <row r="892" spans="1:8" x14ac:dyDescent="0.25">
      <c r="E892" t="str">
        <f>""</f>
        <v/>
      </c>
      <c r="F892" t="str">
        <f>""</f>
        <v/>
      </c>
      <c r="G892" s="3">
        <v>30.36</v>
      </c>
      <c r="H892" t="str">
        <f t="shared" si="13"/>
        <v>REFUND FILING FEE</v>
      </c>
    </row>
    <row r="893" spans="1:8" x14ac:dyDescent="0.25">
      <c r="E893" t="str">
        <f>""</f>
        <v/>
      </c>
      <c r="F893" t="str">
        <f>""</f>
        <v/>
      </c>
      <c r="G893" s="3">
        <v>2.02</v>
      </c>
      <c r="H893" t="str">
        <f t="shared" si="13"/>
        <v>REFUND FILING FEE</v>
      </c>
    </row>
    <row r="894" spans="1:8" x14ac:dyDescent="0.25">
      <c r="E894" t="str">
        <f>""</f>
        <v/>
      </c>
      <c r="F894" t="str">
        <f>""</f>
        <v/>
      </c>
      <c r="G894" s="3">
        <v>2.4300000000000002</v>
      </c>
      <c r="H894" t="str">
        <f t="shared" si="13"/>
        <v>REFUND FILING FEE</v>
      </c>
    </row>
    <row r="895" spans="1:8" x14ac:dyDescent="0.25">
      <c r="E895" t="str">
        <f>""</f>
        <v/>
      </c>
      <c r="F895" t="str">
        <f>""</f>
        <v/>
      </c>
      <c r="G895" s="3">
        <v>4.05</v>
      </c>
      <c r="H895" t="str">
        <f t="shared" si="13"/>
        <v>REFUND FILING FEE</v>
      </c>
    </row>
    <row r="896" spans="1:8" x14ac:dyDescent="0.25">
      <c r="E896" t="str">
        <f>""</f>
        <v/>
      </c>
      <c r="F896" t="str">
        <f>""</f>
        <v/>
      </c>
      <c r="G896" s="3">
        <v>2.02</v>
      </c>
      <c r="H896" t="str">
        <f t="shared" si="13"/>
        <v>REFUND FILING FEE</v>
      </c>
    </row>
    <row r="897" spans="1:8" x14ac:dyDescent="0.25">
      <c r="A897" t="s">
        <v>310</v>
      </c>
      <c r="B897">
        <v>137281</v>
      </c>
      <c r="C897" s="3">
        <v>27150.9</v>
      </c>
      <c r="D897" s="4">
        <v>44481</v>
      </c>
      <c r="E897" t="str">
        <f>"IVC00057900"</f>
        <v>IVC00057900</v>
      </c>
      <c r="F897" t="str">
        <f>"ATTNY FEES/ JP 2"</f>
        <v>ATTNY FEES/ JP 2</v>
      </c>
      <c r="G897" s="3">
        <v>11033.33</v>
      </c>
      <c r="H897" t="str">
        <f>"ATTNY FEES/ JP 2"</f>
        <v>ATTNY FEES/ JP 2</v>
      </c>
    </row>
    <row r="898" spans="1:8" x14ac:dyDescent="0.25">
      <c r="E898" t="str">
        <f>"IVC00060017"</f>
        <v>IVC00060017</v>
      </c>
      <c r="F898" t="str">
        <f>"SERVICES/JP2"</f>
        <v>SERVICES/JP2</v>
      </c>
      <c r="G898" s="3">
        <v>16117.57</v>
      </c>
      <c r="H898" t="str">
        <f>"SERVICES/JP2"</f>
        <v>SERVICES/JP2</v>
      </c>
    </row>
    <row r="899" spans="1:8" x14ac:dyDescent="0.25">
      <c r="A899" t="s">
        <v>310</v>
      </c>
      <c r="B899">
        <v>137524</v>
      </c>
      <c r="C899" s="3">
        <v>27307.07</v>
      </c>
      <c r="D899" s="4">
        <v>44494</v>
      </c>
      <c r="E899" t="str">
        <f>"IVC00061704"</f>
        <v>IVC00061704</v>
      </c>
      <c r="F899" t="str">
        <f>"ATTNY FEES PROF SVCS/JULY-SEPT"</f>
        <v>ATTNY FEES PROF SVCS/JULY-SEPT</v>
      </c>
      <c r="G899" s="3">
        <v>9087.9599999999991</v>
      </c>
      <c r="H899" t="str">
        <f>"ATTNY FEES PROF SVCS/JULY-SEPT"</f>
        <v>ATTNY FEES PROF SVCS/JULY-SEPT</v>
      </c>
    </row>
    <row r="900" spans="1:8" x14ac:dyDescent="0.25">
      <c r="E900" t="str">
        <f>"IVC00061705"</f>
        <v>IVC00061705</v>
      </c>
      <c r="F900" t="str">
        <f>"ATTNY FEES PROF SVCS-JUL-SEP"</f>
        <v>ATTNY FEES PROF SVCS-JUL-SEP</v>
      </c>
      <c r="G900" s="3">
        <v>11385.27</v>
      </c>
      <c r="H900" t="str">
        <f>"ATTNY FEES PROF SVCS-JUL-SEP"</f>
        <v>ATTNY FEES PROF SVCS-JUL-SEP</v>
      </c>
    </row>
    <row r="901" spans="1:8" x14ac:dyDescent="0.25">
      <c r="E901" t="str">
        <f>"IVC00061706"</f>
        <v>IVC00061706</v>
      </c>
      <c r="F901" t="str">
        <f>"ATTNY FEES PROF SVCS/JUL-SEP"</f>
        <v>ATTNY FEES PROF SVCS/JUL-SEP</v>
      </c>
      <c r="G901" s="3">
        <v>6833.84</v>
      </c>
      <c r="H901" t="str">
        <f>"ATTNY FEES PROF SVCS/JUL-SEP"</f>
        <v>ATTNY FEES PROF SVCS/JUL-SEP</v>
      </c>
    </row>
    <row r="902" spans="1:8" x14ac:dyDescent="0.25">
      <c r="A902" t="s">
        <v>311</v>
      </c>
      <c r="B902">
        <v>5228</v>
      </c>
      <c r="C902" s="3">
        <v>2244.5</v>
      </c>
      <c r="D902" s="4">
        <v>44482</v>
      </c>
      <c r="E902" t="str">
        <f>"202109305930"</f>
        <v>202109305930</v>
      </c>
      <c r="F902" t="str">
        <f>"21-20840"</f>
        <v>21-20840</v>
      </c>
      <c r="G902" s="3">
        <v>235</v>
      </c>
      <c r="H902" t="str">
        <f>"21-20840"</f>
        <v>21-20840</v>
      </c>
    </row>
    <row r="903" spans="1:8" x14ac:dyDescent="0.25">
      <c r="E903" t="str">
        <f>"202109305931"</f>
        <v>202109305931</v>
      </c>
      <c r="F903" t="str">
        <f>"21-20635"</f>
        <v>21-20635</v>
      </c>
      <c r="G903" s="3">
        <v>265</v>
      </c>
      <c r="H903" t="str">
        <f>"21-20635"</f>
        <v>21-20635</v>
      </c>
    </row>
    <row r="904" spans="1:8" x14ac:dyDescent="0.25">
      <c r="E904" t="str">
        <f>"202109305932"</f>
        <v>202109305932</v>
      </c>
      <c r="F904" t="str">
        <f>"20-20259"</f>
        <v>20-20259</v>
      </c>
      <c r="G904" s="3">
        <v>220</v>
      </c>
      <c r="H904" t="str">
        <f>"20-20259"</f>
        <v>20-20259</v>
      </c>
    </row>
    <row r="905" spans="1:8" x14ac:dyDescent="0.25">
      <c r="E905" t="str">
        <f>"202109305933"</f>
        <v>202109305933</v>
      </c>
      <c r="F905" t="str">
        <f>"20-20508"</f>
        <v>20-20508</v>
      </c>
      <c r="G905" s="3">
        <v>272.5</v>
      </c>
      <c r="H905" t="str">
        <f>"20-20508"</f>
        <v>20-20508</v>
      </c>
    </row>
    <row r="906" spans="1:8" x14ac:dyDescent="0.25">
      <c r="E906" t="str">
        <f>"202110056025"</f>
        <v>202110056025</v>
      </c>
      <c r="F906" t="str">
        <f>"57409"</f>
        <v>57409</v>
      </c>
      <c r="G906" s="3">
        <v>250</v>
      </c>
      <c r="H906" t="str">
        <f>"57409"</f>
        <v>57409</v>
      </c>
    </row>
    <row r="907" spans="1:8" x14ac:dyDescent="0.25">
      <c r="E907" t="str">
        <f>"202110066095"</f>
        <v>202110066095</v>
      </c>
      <c r="F907" t="str">
        <f>"J-3254"</f>
        <v>J-3254</v>
      </c>
      <c r="G907" s="3">
        <v>625</v>
      </c>
      <c r="H907" t="str">
        <f>"J-3254"</f>
        <v>J-3254</v>
      </c>
    </row>
    <row r="908" spans="1:8" x14ac:dyDescent="0.25">
      <c r="E908" t="str">
        <f>"202110066096"</f>
        <v>202110066096</v>
      </c>
      <c r="F908" t="str">
        <f>"21-20677"</f>
        <v>21-20677</v>
      </c>
      <c r="G908" s="3">
        <v>377</v>
      </c>
      <c r="H908" t="str">
        <f>"21-20677"</f>
        <v>21-20677</v>
      </c>
    </row>
    <row r="909" spans="1:8" x14ac:dyDescent="0.25">
      <c r="A909" t="s">
        <v>311</v>
      </c>
      <c r="B909">
        <v>5305</v>
      </c>
      <c r="C909" s="3">
        <v>2230</v>
      </c>
      <c r="D909" s="4">
        <v>44495</v>
      </c>
      <c r="E909" t="str">
        <f>"202110146450"</f>
        <v>202110146450</v>
      </c>
      <c r="F909" t="str">
        <f>"57669"</f>
        <v>57669</v>
      </c>
      <c r="G909" s="3">
        <v>250</v>
      </c>
      <c r="H909" t="str">
        <f>"57669"</f>
        <v>57669</v>
      </c>
    </row>
    <row r="910" spans="1:8" x14ac:dyDescent="0.25">
      <c r="E910" t="str">
        <f>"202110146454"</f>
        <v>202110146454</v>
      </c>
      <c r="F910" t="str">
        <f>"57689/57822"</f>
        <v>57689/57822</v>
      </c>
      <c r="G910" s="3">
        <v>375</v>
      </c>
      <c r="H910" t="str">
        <f>"57689/57822"</f>
        <v>57689/57822</v>
      </c>
    </row>
    <row r="911" spans="1:8" x14ac:dyDescent="0.25">
      <c r="E911" t="str">
        <f>"202110146455"</f>
        <v>202110146455</v>
      </c>
      <c r="F911" t="str">
        <f>"20-20030"</f>
        <v>20-20030</v>
      </c>
      <c r="G911" s="3">
        <v>412.5</v>
      </c>
      <c r="H911" t="str">
        <f>"20-20030"</f>
        <v>20-20030</v>
      </c>
    </row>
    <row r="912" spans="1:8" x14ac:dyDescent="0.25">
      <c r="E912" t="str">
        <f>"202110146462"</f>
        <v>202110146462</v>
      </c>
      <c r="F912" t="str">
        <f>"20-20527"</f>
        <v>20-20527</v>
      </c>
      <c r="G912" s="3">
        <v>692.5</v>
      </c>
      <c r="H912" t="str">
        <f>"20-20527"</f>
        <v>20-20527</v>
      </c>
    </row>
    <row r="913" spans="1:8" x14ac:dyDescent="0.25">
      <c r="E913" t="str">
        <f>"202110146472"</f>
        <v>202110146472</v>
      </c>
      <c r="F913" t="str">
        <f>"21-20884"</f>
        <v>21-20884</v>
      </c>
      <c r="G913" s="3">
        <v>250</v>
      </c>
      <c r="H913" t="str">
        <f>"21-20884"</f>
        <v>21-20884</v>
      </c>
    </row>
    <row r="914" spans="1:8" x14ac:dyDescent="0.25">
      <c r="E914" t="str">
        <f>"202110146485"</f>
        <v>202110146485</v>
      </c>
      <c r="F914" t="str">
        <f>"57 501"</f>
        <v>57 501</v>
      </c>
      <c r="G914" s="3">
        <v>250</v>
      </c>
      <c r="H914" t="str">
        <f>"57 501"</f>
        <v>57 501</v>
      </c>
    </row>
    <row r="915" spans="1:8" x14ac:dyDescent="0.25">
      <c r="A915" t="s">
        <v>312</v>
      </c>
      <c r="B915">
        <v>137525</v>
      </c>
      <c r="C915" s="3">
        <v>32.25</v>
      </c>
      <c r="D915" s="4">
        <v>44494</v>
      </c>
      <c r="E915" t="str">
        <f>"1019094847"</f>
        <v>1019094847</v>
      </c>
      <c r="F915" t="str">
        <f>"INV 1019094847"</f>
        <v>INV 1019094847</v>
      </c>
      <c r="G915" s="3">
        <v>32.25</v>
      </c>
      <c r="H915" t="str">
        <f>"INV 1019094847"</f>
        <v>INV 1019094847</v>
      </c>
    </row>
    <row r="916" spans="1:8" x14ac:dyDescent="0.25">
      <c r="A916" t="s">
        <v>313</v>
      </c>
      <c r="B916">
        <v>5227</v>
      </c>
      <c r="C916" s="3">
        <v>1631.01</v>
      </c>
      <c r="D916" s="4">
        <v>44482</v>
      </c>
      <c r="E916" t="str">
        <f>"3314374669"</f>
        <v>3314374669</v>
      </c>
      <c r="F916" t="str">
        <f>"ACCT#0011198047"</f>
        <v>ACCT#0011198047</v>
      </c>
      <c r="G916" s="3">
        <v>1631.01</v>
      </c>
      <c r="H916" t="str">
        <f>"ACCT#0011198047"</f>
        <v>ACCT#0011198047</v>
      </c>
    </row>
    <row r="917" spans="1:8" x14ac:dyDescent="0.25">
      <c r="A917" t="s">
        <v>314</v>
      </c>
      <c r="B917">
        <v>137282</v>
      </c>
      <c r="C917" s="3">
        <v>924.25</v>
      </c>
      <c r="D917" s="4">
        <v>44481</v>
      </c>
      <c r="E917" t="str">
        <f>"202110066089"</f>
        <v>202110066089</v>
      </c>
      <c r="F917" t="str">
        <f>"ACCT#8850283308/PCT#1"</f>
        <v>ACCT#8850283308/PCT#1</v>
      </c>
      <c r="G917" s="3">
        <v>904.94</v>
      </c>
      <c r="H917" t="str">
        <f>"ACCT#8850283308/PCT#1"</f>
        <v>ACCT#8850283308/PCT#1</v>
      </c>
    </row>
    <row r="918" spans="1:8" x14ac:dyDescent="0.25">
      <c r="E918" t="str">
        <f>"202110066092"</f>
        <v>202110066092</v>
      </c>
      <c r="F918" t="str">
        <f>"ACCT#8850283308/PCT#2"</f>
        <v>ACCT#8850283308/PCT#2</v>
      </c>
      <c r="G918" s="3">
        <v>19.309999999999999</v>
      </c>
      <c r="H918" t="str">
        <f>"ACCT#8850283308/PCT#2"</f>
        <v>ACCT#8850283308/PCT#2</v>
      </c>
    </row>
    <row r="919" spans="1:8" x14ac:dyDescent="0.25">
      <c r="A919" t="s">
        <v>315</v>
      </c>
      <c r="B919">
        <v>137526</v>
      </c>
      <c r="C919" s="3">
        <v>409.45</v>
      </c>
      <c r="D919" s="4">
        <v>44494</v>
      </c>
      <c r="E919" t="str">
        <f>"66374380"</f>
        <v>66374380</v>
      </c>
      <c r="F919" t="str">
        <f>"CUST#71364636/PCT#3"</f>
        <v>CUST#71364636/PCT#3</v>
      </c>
      <c r="G919" s="3">
        <v>409.45</v>
      </c>
      <c r="H919" t="str">
        <f>"CUST#71364636/PCT#3"</f>
        <v>CUST#71364636/PCT#3</v>
      </c>
    </row>
    <row r="920" spans="1:8" x14ac:dyDescent="0.25">
      <c r="A920" t="s">
        <v>316</v>
      </c>
      <c r="B920">
        <v>137283</v>
      </c>
      <c r="C920" s="3">
        <v>50</v>
      </c>
      <c r="D920" s="4">
        <v>44481</v>
      </c>
      <c r="E920" t="s">
        <v>317</v>
      </c>
      <c r="F920" s="3" t="str">
        <f>"RESTITUTION - COY FERRIS"</f>
        <v>RESTITUTION - COY FERRIS</v>
      </c>
      <c r="G920" s="3">
        <v>50</v>
      </c>
      <c r="H920" s="3" t="str">
        <f>"RESTITUTION - COY FERRIS"</f>
        <v>RESTITUTION - COY FERRIS</v>
      </c>
    </row>
    <row r="921" spans="1:8" x14ac:dyDescent="0.25">
      <c r="A921" t="s">
        <v>318</v>
      </c>
      <c r="B921">
        <v>137284</v>
      </c>
      <c r="C921" s="3">
        <v>595</v>
      </c>
      <c r="D921" s="4">
        <v>44481</v>
      </c>
      <c r="E921" t="str">
        <f>"2021115"</f>
        <v>2021115</v>
      </c>
      <c r="F921" t="str">
        <f>"TRANSPORT - KENNETH COLLINS"</f>
        <v>TRANSPORT - KENNETH COLLINS</v>
      </c>
      <c r="G921" s="3">
        <v>595</v>
      </c>
      <c r="H921" t="str">
        <f>"TRANSPORT - KENNETH COLLINS"</f>
        <v>TRANSPORT - KENNETH COLLINS</v>
      </c>
    </row>
    <row r="922" spans="1:8" x14ac:dyDescent="0.25">
      <c r="A922" t="s">
        <v>319</v>
      </c>
      <c r="B922">
        <v>137527</v>
      </c>
      <c r="C922" s="3">
        <v>2800</v>
      </c>
      <c r="D922" s="4">
        <v>44494</v>
      </c>
      <c r="E922" t="str">
        <f>"202110206642"</f>
        <v>202110206642</v>
      </c>
      <c r="F922" t="str">
        <f>"Contract Renewal 21-22"</f>
        <v>Contract Renewal 21-22</v>
      </c>
      <c r="G922" s="3">
        <v>2800</v>
      </c>
      <c r="H922" t="str">
        <f>"Contract Renewal 21-22"</f>
        <v>Contract Renewal 21-22</v>
      </c>
    </row>
    <row r="923" spans="1:8" x14ac:dyDescent="0.25">
      <c r="A923" t="s">
        <v>320</v>
      </c>
      <c r="B923">
        <v>137285</v>
      </c>
      <c r="C923" s="3">
        <v>750.5</v>
      </c>
      <c r="D923" s="4">
        <v>44481</v>
      </c>
      <c r="E923" t="str">
        <f>"341470"</f>
        <v>341470</v>
      </c>
      <c r="F923" t="str">
        <f>"FIRE EXTINGUISHER MAINT"</f>
        <v>FIRE EXTINGUISHER MAINT</v>
      </c>
      <c r="G923" s="3">
        <v>750.5</v>
      </c>
      <c r="H923" t="str">
        <f>"FIRE EXTINGUISHER MAINT"</f>
        <v>FIRE EXTINGUISHER MAINT</v>
      </c>
    </row>
    <row r="924" spans="1:8" x14ac:dyDescent="0.25">
      <c r="A924" t="s">
        <v>321</v>
      </c>
      <c r="B924">
        <v>137286</v>
      </c>
      <c r="C924" s="3">
        <v>702.77</v>
      </c>
      <c r="D924" s="4">
        <v>44481</v>
      </c>
      <c r="E924" t="str">
        <f>"1950023"</f>
        <v>1950023</v>
      </c>
      <c r="F924" t="str">
        <f>"Service Call"</f>
        <v>Service Call</v>
      </c>
      <c r="G924" s="3">
        <v>702.77</v>
      </c>
      <c r="H924" t="str">
        <f>"INV 1950023"</f>
        <v>INV 1950023</v>
      </c>
    </row>
    <row r="925" spans="1:8" x14ac:dyDescent="0.25">
      <c r="A925" t="s">
        <v>322</v>
      </c>
      <c r="B925">
        <v>5255</v>
      </c>
      <c r="C925" s="3">
        <v>217.87</v>
      </c>
      <c r="D925" s="4">
        <v>44495</v>
      </c>
      <c r="E925" t="str">
        <f>"11J0121569859"</f>
        <v>11J0121569859</v>
      </c>
      <c r="F925" t="str">
        <f>"ACCT#0121569859/JP#4"</f>
        <v>ACCT#0121569859/JP#4</v>
      </c>
      <c r="G925" s="3">
        <v>92.95</v>
      </c>
      <c r="H925" t="str">
        <f>"ACCT#0121569859/JP#4"</f>
        <v>ACCT#0121569859/JP#4</v>
      </c>
    </row>
    <row r="926" spans="1:8" x14ac:dyDescent="0.25">
      <c r="E926" t="str">
        <f>"11J0121569859-10/1"</f>
        <v>11J0121569859-10/1</v>
      </c>
      <c r="F926" t="str">
        <f>"ACCT#0121569859/JP#4"</f>
        <v>ACCT#0121569859/JP#4</v>
      </c>
      <c r="G926" s="3">
        <v>12</v>
      </c>
      <c r="H926" t="str">
        <f>"ACCT#0121569859/JP#4"</f>
        <v>ACCT#0121569859/JP#4</v>
      </c>
    </row>
    <row r="927" spans="1:8" x14ac:dyDescent="0.25">
      <c r="E927" t="str">
        <f>"11J0121587851"</f>
        <v>11J0121587851</v>
      </c>
      <c r="F927" t="str">
        <f>"ACCT#0121587851/PCT#4"</f>
        <v>ACCT#0121587851/PCT#4</v>
      </c>
      <c r="G927" s="3">
        <v>99.92</v>
      </c>
      <c r="H927" t="str">
        <f>"ACCT#0121587851/PCT#4"</f>
        <v>ACCT#0121587851/PCT#4</v>
      </c>
    </row>
    <row r="928" spans="1:8" x14ac:dyDescent="0.25">
      <c r="E928" t="str">
        <f>"11J0121587851 10/1"</f>
        <v>11J0121587851 10/1</v>
      </c>
      <c r="F928" t="str">
        <f>"ACCT#0121587851/PCT#4"</f>
        <v>ACCT#0121587851/PCT#4</v>
      </c>
      <c r="G928" s="3">
        <v>13</v>
      </c>
      <c r="H928" t="str">
        <f>"ACCT#0121587851/PCT#4"</f>
        <v>ACCT#0121587851/PCT#4</v>
      </c>
    </row>
    <row r="929" spans="1:8" x14ac:dyDescent="0.25">
      <c r="A929" t="s">
        <v>323</v>
      </c>
      <c r="B929">
        <v>5206</v>
      </c>
      <c r="C929" s="3">
        <v>1500</v>
      </c>
      <c r="D929" s="4">
        <v>44482</v>
      </c>
      <c r="E929" t="str">
        <f>"85"</f>
        <v>85</v>
      </c>
      <c r="F929" t="str">
        <f>"PROF SVCS SEP 21 23 &amp; 29"</f>
        <v>PROF SVCS SEP 21 23 &amp; 29</v>
      </c>
      <c r="G929" s="3">
        <v>1500</v>
      </c>
      <c r="H929" t="str">
        <f>"PROF SVCS SEP 21 23 &amp; 29"</f>
        <v>PROF SVCS SEP 21 23 &amp; 29</v>
      </c>
    </row>
    <row r="930" spans="1:8" x14ac:dyDescent="0.25">
      <c r="A930" t="s">
        <v>323</v>
      </c>
      <c r="B930">
        <v>5285</v>
      </c>
      <c r="C930" s="3">
        <v>2000</v>
      </c>
      <c r="D930" s="4">
        <v>44495</v>
      </c>
      <c r="E930" t="str">
        <f>"88"</f>
        <v>88</v>
      </c>
      <c r="F930" t="str">
        <f>"PROF SVCS/SURGERIES/OCT"</f>
        <v>PROF SVCS/SURGERIES/OCT</v>
      </c>
      <c r="G930" s="3">
        <v>2000</v>
      </c>
      <c r="H930" t="str">
        <f>"PROF SVCS/SURGERIES/OCT"</f>
        <v>PROF SVCS/SURGERIES/OCT</v>
      </c>
    </row>
    <row r="931" spans="1:8" x14ac:dyDescent="0.25">
      <c r="A931" t="s">
        <v>324</v>
      </c>
      <c r="B931">
        <v>137193</v>
      </c>
      <c r="C931" s="3">
        <v>1763.38</v>
      </c>
      <c r="D931" s="4">
        <v>44470</v>
      </c>
      <c r="E931" t="str">
        <f>"302 003 129 175 5"</f>
        <v>302 003 129 175 5</v>
      </c>
      <c r="F931" t="str">
        <f>"ACCT#15 069 451 - 1 / 09272021"</f>
        <v>ACCT#15 069 451 - 1 / 09272021</v>
      </c>
      <c r="G931" s="3">
        <v>489.1</v>
      </c>
      <c r="H931" t="str">
        <f>"NRG ENERGY INC"</f>
        <v>NRG ENERGY INC</v>
      </c>
    </row>
    <row r="932" spans="1:8" x14ac:dyDescent="0.25">
      <c r="E932" t="str">
        <f>"304 001 073 958 2"</f>
        <v>304 001 073 958 2</v>
      </c>
      <c r="F932" t="str">
        <f>"ACCT#15 072 199 - 1 / 09272021"</f>
        <v>ACCT#15 072 199 - 1 / 09272021</v>
      </c>
      <c r="G932" s="3">
        <v>44.88</v>
      </c>
      <c r="H932" t="str">
        <f>"ACCT#15 072 199 - 1 / 09272021"</f>
        <v>ACCT#15 072 199 - 1 / 09272021</v>
      </c>
    </row>
    <row r="933" spans="1:8" x14ac:dyDescent="0.25">
      <c r="E933" t="str">
        <f>"304 001 073 959 0"</f>
        <v>304 001 073 959 0</v>
      </c>
      <c r="F933" t="str">
        <f>"ACCT#15 072 200 - 7 / 09272021"</f>
        <v>ACCT#15 072 200 - 7 / 09272021</v>
      </c>
      <c r="G933" s="3">
        <v>282.81</v>
      </c>
      <c r="H933" t="str">
        <f>"ACCT#15 072 200 - 7 / 09272021"</f>
        <v>ACCT#15 072 200 - 7 / 09272021</v>
      </c>
    </row>
    <row r="934" spans="1:8" x14ac:dyDescent="0.25">
      <c r="E934" t="str">
        <f>"304 001 073 960 8"</f>
        <v>304 001 073 960 8</v>
      </c>
      <c r="F934" t="str">
        <f>"ACCT#15 072 201 - 5 / 09272021"</f>
        <v>ACCT#15 072 201 - 5 / 09272021</v>
      </c>
      <c r="G934" s="3">
        <v>524.55999999999995</v>
      </c>
      <c r="H934" t="str">
        <f>"NRG ENERGY INC"</f>
        <v>NRG ENERGY INC</v>
      </c>
    </row>
    <row r="935" spans="1:8" x14ac:dyDescent="0.25">
      <c r="E935" t="str">
        <f>"304 001 073 961 6"</f>
        <v>304 001 073 961 6</v>
      </c>
      <c r="F935" t="str">
        <f>"ACCT#15 072 202 - 3 / 09272021"</f>
        <v>ACCT#15 072 202 - 3 / 09272021</v>
      </c>
      <c r="G935" s="3">
        <v>23.78</v>
      </c>
      <c r="H935" t="str">
        <f>"NRG ENERGY INC"</f>
        <v>NRG ENERGY INC</v>
      </c>
    </row>
    <row r="936" spans="1:8" x14ac:dyDescent="0.25">
      <c r="E936" t="str">
        <f>"304 001 073 962 4"</f>
        <v>304 001 073 962 4</v>
      </c>
      <c r="F936" t="str">
        <f>"ACCT#15 072 203 - 1 / 09272021"</f>
        <v>ACCT#15 072 203 - 1 / 09272021</v>
      </c>
      <c r="G936" s="3">
        <v>16.14</v>
      </c>
      <c r="H936" t="str">
        <f>"NRG ENERGY INC"</f>
        <v>NRG ENERGY INC</v>
      </c>
    </row>
    <row r="937" spans="1:8" x14ac:dyDescent="0.25">
      <c r="E937" t="str">
        <f>"304 001 073 963 2"</f>
        <v>304 001 073 963 2</v>
      </c>
      <c r="F937" t="str">
        <f>"ACCT#15 072 204 - 9 / 09272021"</f>
        <v>ACCT#15 072 204 - 9 / 09272021</v>
      </c>
      <c r="G937" s="3">
        <v>382.11</v>
      </c>
      <c r="H937" t="str">
        <f>"NRG ENERGY INC"</f>
        <v>NRG ENERGY INC</v>
      </c>
    </row>
    <row r="938" spans="1:8" x14ac:dyDescent="0.25">
      <c r="A938" t="s">
        <v>324</v>
      </c>
      <c r="B938">
        <v>137587</v>
      </c>
      <c r="C938" s="3">
        <v>464.52</v>
      </c>
      <c r="D938" s="4">
        <v>44497</v>
      </c>
      <c r="E938" t="str">
        <f>"302 003 219 684 7"</f>
        <v>302 003 219 684 7</v>
      </c>
      <c r="F938" t="str">
        <f>"ACCT#15 069 451 - 1 / 10242021"</f>
        <v>ACCT#15 069 451 - 1 / 10242021</v>
      </c>
      <c r="G938" s="3">
        <v>464.52</v>
      </c>
      <c r="H938" t="str">
        <f>"ACCT#15 069 451 - 1 / 10242021"</f>
        <v>ACCT#15 069 451 - 1 / 10242021</v>
      </c>
    </row>
    <row r="939" spans="1:8" x14ac:dyDescent="0.25">
      <c r="A939" t="s">
        <v>325</v>
      </c>
      <c r="B939">
        <v>5200</v>
      </c>
      <c r="C939" s="3">
        <v>19.16</v>
      </c>
      <c r="D939" s="4">
        <v>44482</v>
      </c>
      <c r="E939" t="str">
        <f>"19469"</f>
        <v>19469</v>
      </c>
      <c r="F939" t="str">
        <f>"BRAKE HOSE/PCT#4"</f>
        <v>BRAKE HOSE/PCT#4</v>
      </c>
      <c r="G939" s="3">
        <v>19.16</v>
      </c>
      <c r="H939" t="str">
        <f>"BRAKE HOSE/PCT#4"</f>
        <v>BRAKE HOSE/PCT#4</v>
      </c>
    </row>
    <row r="940" spans="1:8" x14ac:dyDescent="0.25">
      <c r="A940" t="s">
        <v>325</v>
      </c>
      <c r="B940">
        <v>5279</v>
      </c>
      <c r="C940" s="3">
        <v>3288.53</v>
      </c>
      <c r="D940" s="4">
        <v>44495</v>
      </c>
      <c r="E940" t="str">
        <f>"19587"</f>
        <v>19587</v>
      </c>
      <c r="F940" t="str">
        <f>"SVC ORD#19731/PCT#4"</f>
        <v>SVC ORD#19731/PCT#4</v>
      </c>
      <c r="G940" s="3">
        <v>40</v>
      </c>
      <c r="H940" t="str">
        <f>"SVC ORD#19731/PCT#4"</f>
        <v>SVC ORD#19731/PCT#4</v>
      </c>
    </row>
    <row r="941" spans="1:8" x14ac:dyDescent="0.25">
      <c r="E941" t="str">
        <f>"19588"</f>
        <v>19588</v>
      </c>
      <c r="F941" t="str">
        <f>"SVC ORD#19719/PCT#4"</f>
        <v>SVC ORD#19719/PCT#4</v>
      </c>
      <c r="G941" s="3">
        <v>3248.53</v>
      </c>
      <c r="H941" t="str">
        <f>"SVC ORD#19719/PCT#4"</f>
        <v>SVC ORD#19719/PCT#4</v>
      </c>
    </row>
    <row r="942" spans="1:8" x14ac:dyDescent="0.25">
      <c r="A942" t="s">
        <v>326</v>
      </c>
      <c r="B942">
        <v>137287</v>
      </c>
      <c r="C942" s="3">
        <v>1500</v>
      </c>
      <c r="D942" s="4">
        <v>44481</v>
      </c>
      <c r="E942" t="str">
        <f>"202110066129"</f>
        <v>202110066129</v>
      </c>
      <c r="F942" t="str">
        <f>"POSTAGE REFILL"</f>
        <v>POSTAGE REFILL</v>
      </c>
      <c r="G942" s="3">
        <v>1500</v>
      </c>
      <c r="H942" t="str">
        <f>"POSTAGE REFILL"</f>
        <v>POSTAGE REFILL</v>
      </c>
    </row>
    <row r="943" spans="1:8" x14ac:dyDescent="0.25">
      <c r="A943" t="s">
        <v>326</v>
      </c>
      <c r="B943">
        <v>137288</v>
      </c>
      <c r="C943" s="3">
        <v>9000</v>
      </c>
      <c r="D943" s="4">
        <v>44481</v>
      </c>
      <c r="E943" t="str">
        <f>"202110045968"</f>
        <v>202110045968</v>
      </c>
      <c r="F943" t="str">
        <f>"RESERVE ACCOUNT"</f>
        <v>RESERVE ACCOUNT</v>
      </c>
      <c r="G943" s="3">
        <v>9000</v>
      </c>
      <c r="H943" t="str">
        <f>"RESERVE ACCOUNT"</f>
        <v>RESERVE ACCOUNT</v>
      </c>
    </row>
    <row r="944" spans="1:8" x14ac:dyDescent="0.25">
      <c r="A944" t="s">
        <v>327</v>
      </c>
      <c r="B944">
        <v>5180</v>
      </c>
      <c r="C944" s="3">
        <v>260.47000000000003</v>
      </c>
      <c r="D944" s="4">
        <v>44482</v>
      </c>
      <c r="E944" t="str">
        <f>"1089453075"</f>
        <v>1089453075</v>
      </c>
      <c r="F944" t="str">
        <f>"CUST#12847097/ANIMAL SHELTER"</f>
        <v>CUST#12847097/ANIMAL SHELTER</v>
      </c>
      <c r="G944" s="3">
        <v>174.72</v>
      </c>
      <c r="H944" t="str">
        <f>"CUST#12847097/ANIMAL SHELTER"</f>
        <v>CUST#12847097/ANIMAL SHELTER</v>
      </c>
    </row>
    <row r="945" spans="1:8" x14ac:dyDescent="0.25">
      <c r="E945" t="str">
        <f>"1089473867"</f>
        <v>1089473867</v>
      </c>
      <c r="F945" t="str">
        <f>"CUST#12847097/ANIMAL SHELTER"</f>
        <v>CUST#12847097/ANIMAL SHELTER</v>
      </c>
      <c r="G945" s="3">
        <v>7.47</v>
      </c>
      <c r="H945" t="str">
        <f>"CUST#12847097/ANIMAL SHELTER"</f>
        <v>CUST#12847097/ANIMAL SHELTER</v>
      </c>
    </row>
    <row r="946" spans="1:8" x14ac:dyDescent="0.25">
      <c r="E946" t="str">
        <f>"1089549212"</f>
        <v>1089549212</v>
      </c>
      <c r="F946" t="str">
        <f>"CUST#12847097/ANIMAL SHELTER"</f>
        <v>CUST#12847097/ANIMAL SHELTER</v>
      </c>
      <c r="G946" s="3">
        <v>78.28</v>
      </c>
      <c r="H946" t="str">
        <f>"CUST#12847097/ANIMAL SHELTER"</f>
        <v>CUST#12847097/ANIMAL SHELTER</v>
      </c>
    </row>
    <row r="947" spans="1:8" x14ac:dyDescent="0.25">
      <c r="A947" t="s">
        <v>328</v>
      </c>
      <c r="B947">
        <v>137289</v>
      </c>
      <c r="C947" s="3">
        <v>9315.17</v>
      </c>
      <c r="D947" s="4">
        <v>44481</v>
      </c>
      <c r="E947" t="str">
        <f>"38593669"</f>
        <v>38593669</v>
      </c>
      <c r="F947" t="str">
        <f>"CUST#2000172616/NOVEMBER"</f>
        <v>CUST#2000172616/NOVEMBER</v>
      </c>
      <c r="G947" s="3">
        <v>249.26</v>
      </c>
      <c r="H947" t="str">
        <f t="shared" ref="H947:H978" si="14">"CUST#2000172616/NOVEMBER"</f>
        <v>CUST#2000172616/NOVEMBER</v>
      </c>
    </row>
    <row r="948" spans="1:8" x14ac:dyDescent="0.25">
      <c r="E948" t="str">
        <f>""</f>
        <v/>
      </c>
      <c r="F948" t="str">
        <f>""</f>
        <v/>
      </c>
      <c r="G948" s="3">
        <v>174.17</v>
      </c>
      <c r="H948" t="str">
        <f t="shared" si="14"/>
        <v>CUST#2000172616/NOVEMBER</v>
      </c>
    </row>
    <row r="949" spans="1:8" x14ac:dyDescent="0.25">
      <c r="E949" t="str">
        <f>""</f>
        <v/>
      </c>
      <c r="F949" t="str">
        <f>""</f>
        <v/>
      </c>
      <c r="G949" s="3">
        <v>95.11</v>
      </c>
      <c r="H949" t="str">
        <f t="shared" si="14"/>
        <v>CUST#2000172616/NOVEMBER</v>
      </c>
    </row>
    <row r="950" spans="1:8" x14ac:dyDescent="0.25">
      <c r="E950" t="str">
        <f>""</f>
        <v/>
      </c>
      <c r="F950" t="str">
        <f>""</f>
        <v/>
      </c>
      <c r="G950" s="3">
        <v>101.5</v>
      </c>
      <c r="H950" t="str">
        <f t="shared" si="14"/>
        <v>CUST#2000172616/NOVEMBER</v>
      </c>
    </row>
    <row r="951" spans="1:8" x14ac:dyDescent="0.25">
      <c r="E951" t="str">
        <f>""</f>
        <v/>
      </c>
      <c r="F951" t="str">
        <f>""</f>
        <v/>
      </c>
      <c r="G951" s="3">
        <v>249.26</v>
      </c>
      <c r="H951" t="str">
        <f t="shared" si="14"/>
        <v>CUST#2000172616/NOVEMBER</v>
      </c>
    </row>
    <row r="952" spans="1:8" x14ac:dyDescent="0.25">
      <c r="E952" t="str">
        <f>""</f>
        <v/>
      </c>
      <c r="F952" t="str">
        <f>""</f>
        <v/>
      </c>
      <c r="G952" s="3">
        <v>428.42</v>
      </c>
      <c r="H952" t="str">
        <f t="shared" si="14"/>
        <v>CUST#2000172616/NOVEMBER</v>
      </c>
    </row>
    <row r="953" spans="1:8" x14ac:dyDescent="0.25">
      <c r="E953" t="str">
        <f>""</f>
        <v/>
      </c>
      <c r="F953" t="str">
        <f>""</f>
        <v/>
      </c>
      <c r="G953" s="3">
        <v>95.1</v>
      </c>
      <c r="H953" t="str">
        <f t="shared" si="14"/>
        <v>CUST#2000172616/NOVEMBER</v>
      </c>
    </row>
    <row r="954" spans="1:8" x14ac:dyDescent="0.25">
      <c r="E954" t="str">
        <f>""</f>
        <v/>
      </c>
      <c r="F954" t="str">
        <f>""</f>
        <v/>
      </c>
      <c r="G954" s="3">
        <v>303.86</v>
      </c>
      <c r="H954" t="str">
        <f t="shared" si="14"/>
        <v>CUST#2000172616/NOVEMBER</v>
      </c>
    </row>
    <row r="955" spans="1:8" x14ac:dyDescent="0.25">
      <c r="E955" t="str">
        <f>""</f>
        <v/>
      </c>
      <c r="F955" t="str">
        <f>""</f>
        <v/>
      </c>
      <c r="G955" s="3">
        <v>543.30999999999995</v>
      </c>
      <c r="H955" t="str">
        <f t="shared" si="14"/>
        <v>CUST#2000172616/NOVEMBER</v>
      </c>
    </row>
    <row r="956" spans="1:8" x14ac:dyDescent="0.25">
      <c r="E956" t="str">
        <f>""</f>
        <v/>
      </c>
      <c r="F956" t="str">
        <f>""</f>
        <v/>
      </c>
      <c r="G956" s="3">
        <v>249.26</v>
      </c>
      <c r="H956" t="str">
        <f t="shared" si="14"/>
        <v>CUST#2000172616/NOVEMBER</v>
      </c>
    </row>
    <row r="957" spans="1:8" x14ac:dyDescent="0.25">
      <c r="E957" t="str">
        <f>""</f>
        <v/>
      </c>
      <c r="F957" t="str">
        <f>""</f>
        <v/>
      </c>
      <c r="G957" s="3">
        <v>201</v>
      </c>
      <c r="H957" t="str">
        <f t="shared" si="14"/>
        <v>CUST#2000172616/NOVEMBER</v>
      </c>
    </row>
    <row r="958" spans="1:8" x14ac:dyDescent="0.25">
      <c r="E958" t="str">
        <f>""</f>
        <v/>
      </c>
      <c r="F958" t="str">
        <f>""</f>
        <v/>
      </c>
      <c r="G958" s="3">
        <v>80.28</v>
      </c>
      <c r="H958" t="str">
        <f t="shared" si="14"/>
        <v>CUST#2000172616/NOVEMBER</v>
      </c>
    </row>
    <row r="959" spans="1:8" x14ac:dyDescent="0.25">
      <c r="E959" t="str">
        <f>""</f>
        <v/>
      </c>
      <c r="F959" t="str">
        <f>""</f>
        <v/>
      </c>
      <c r="G959" s="3">
        <v>220.09</v>
      </c>
      <c r="H959" t="str">
        <f t="shared" si="14"/>
        <v>CUST#2000172616/NOVEMBER</v>
      </c>
    </row>
    <row r="960" spans="1:8" x14ac:dyDescent="0.25">
      <c r="E960" t="str">
        <f>""</f>
        <v/>
      </c>
      <c r="F960" t="str">
        <f>""</f>
        <v/>
      </c>
      <c r="G960" s="3">
        <v>525.66</v>
      </c>
      <c r="H960" t="str">
        <f t="shared" si="14"/>
        <v>CUST#2000172616/NOVEMBER</v>
      </c>
    </row>
    <row r="961" spans="5:8" x14ac:dyDescent="0.25">
      <c r="E961" t="str">
        <f>""</f>
        <v/>
      </c>
      <c r="F961" t="str">
        <f>""</f>
        <v/>
      </c>
      <c r="G961" s="3">
        <v>249.26</v>
      </c>
      <c r="H961" t="str">
        <f t="shared" si="14"/>
        <v>CUST#2000172616/NOVEMBER</v>
      </c>
    </row>
    <row r="962" spans="5:8" x14ac:dyDescent="0.25">
      <c r="E962" t="str">
        <f>""</f>
        <v/>
      </c>
      <c r="F962" t="str">
        <f>""</f>
        <v/>
      </c>
      <c r="G962" s="3">
        <v>249.26</v>
      </c>
      <c r="H962" t="str">
        <f t="shared" si="14"/>
        <v>CUST#2000172616/NOVEMBER</v>
      </c>
    </row>
    <row r="963" spans="5:8" x14ac:dyDescent="0.25">
      <c r="E963" t="str">
        <f>""</f>
        <v/>
      </c>
      <c r="F963" t="str">
        <f>""</f>
        <v/>
      </c>
      <c r="G963" s="3">
        <v>119.57</v>
      </c>
      <c r="H963" t="str">
        <f t="shared" si="14"/>
        <v>CUST#2000172616/NOVEMBER</v>
      </c>
    </row>
    <row r="964" spans="5:8" x14ac:dyDescent="0.25">
      <c r="E964" t="str">
        <f>""</f>
        <v/>
      </c>
      <c r="F964" t="str">
        <f>""</f>
        <v/>
      </c>
      <c r="G964" s="3">
        <v>338.84</v>
      </c>
      <c r="H964" t="str">
        <f t="shared" si="14"/>
        <v>CUST#2000172616/NOVEMBER</v>
      </c>
    </row>
    <row r="965" spans="5:8" x14ac:dyDescent="0.25">
      <c r="E965" t="str">
        <f>""</f>
        <v/>
      </c>
      <c r="F965" t="str">
        <f>""</f>
        <v/>
      </c>
      <c r="G965" s="3">
        <v>78.540000000000006</v>
      </c>
      <c r="H965" t="str">
        <f t="shared" si="14"/>
        <v>CUST#2000172616/NOVEMBER</v>
      </c>
    </row>
    <row r="966" spans="5:8" x14ac:dyDescent="0.25">
      <c r="E966" t="str">
        <f>""</f>
        <v/>
      </c>
      <c r="F966" t="str">
        <f>""</f>
        <v/>
      </c>
      <c r="G966" s="3">
        <v>249.26</v>
      </c>
      <c r="H966" t="str">
        <f t="shared" si="14"/>
        <v>CUST#2000172616/NOVEMBER</v>
      </c>
    </row>
    <row r="967" spans="5:8" x14ac:dyDescent="0.25">
      <c r="E967" t="str">
        <f>""</f>
        <v/>
      </c>
      <c r="F967" t="str">
        <f>""</f>
        <v/>
      </c>
      <c r="G967" s="3">
        <v>139.51</v>
      </c>
      <c r="H967" t="str">
        <f t="shared" si="14"/>
        <v>CUST#2000172616/NOVEMBER</v>
      </c>
    </row>
    <row r="968" spans="5:8" x14ac:dyDescent="0.25">
      <c r="E968" t="str">
        <f>""</f>
        <v/>
      </c>
      <c r="F968" t="str">
        <f>""</f>
        <v/>
      </c>
      <c r="G968" s="3">
        <v>303.86</v>
      </c>
      <c r="H968" t="str">
        <f t="shared" si="14"/>
        <v>CUST#2000172616/NOVEMBER</v>
      </c>
    </row>
    <row r="969" spans="5:8" x14ac:dyDescent="0.25">
      <c r="E969" t="str">
        <f>""</f>
        <v/>
      </c>
      <c r="F969" t="str">
        <f>""</f>
        <v/>
      </c>
      <c r="G969" s="3">
        <v>1267.82</v>
      </c>
      <c r="H969" t="str">
        <f t="shared" si="14"/>
        <v>CUST#2000172616/NOVEMBER</v>
      </c>
    </row>
    <row r="970" spans="5:8" x14ac:dyDescent="0.25">
      <c r="E970" t="str">
        <f>""</f>
        <v/>
      </c>
      <c r="F970" t="str">
        <f>""</f>
        <v/>
      </c>
      <c r="G970" s="3">
        <v>1244.07</v>
      </c>
      <c r="H970" t="str">
        <f t="shared" si="14"/>
        <v>CUST#2000172616/NOVEMBER</v>
      </c>
    </row>
    <row r="971" spans="5:8" x14ac:dyDescent="0.25">
      <c r="E971" t="str">
        <f>""</f>
        <v/>
      </c>
      <c r="F971" t="str">
        <f>""</f>
        <v/>
      </c>
      <c r="G971" s="3">
        <v>334.08</v>
      </c>
      <c r="H971" t="str">
        <f t="shared" si="14"/>
        <v>CUST#2000172616/NOVEMBER</v>
      </c>
    </row>
    <row r="972" spans="5:8" x14ac:dyDescent="0.25">
      <c r="E972" t="str">
        <f>""</f>
        <v/>
      </c>
      <c r="F972" t="str">
        <f>""</f>
        <v/>
      </c>
      <c r="G972" s="3">
        <v>303.86</v>
      </c>
      <c r="H972" t="str">
        <f t="shared" si="14"/>
        <v>CUST#2000172616/NOVEMBER</v>
      </c>
    </row>
    <row r="973" spans="5:8" x14ac:dyDescent="0.25">
      <c r="E973" t="str">
        <f>""</f>
        <v/>
      </c>
      <c r="F973" t="str">
        <f>""</f>
        <v/>
      </c>
      <c r="G973" s="3">
        <v>303.86</v>
      </c>
      <c r="H973" t="str">
        <f t="shared" si="14"/>
        <v>CUST#2000172616/NOVEMBER</v>
      </c>
    </row>
    <row r="974" spans="5:8" x14ac:dyDescent="0.25">
      <c r="E974" t="str">
        <f>""</f>
        <v/>
      </c>
      <c r="F974" t="str">
        <f>""</f>
        <v/>
      </c>
      <c r="G974" s="3">
        <v>101.5</v>
      </c>
      <c r="H974" t="str">
        <f t="shared" si="14"/>
        <v>CUST#2000172616/NOVEMBER</v>
      </c>
    </row>
    <row r="975" spans="5:8" x14ac:dyDescent="0.25">
      <c r="E975" t="str">
        <f>""</f>
        <v/>
      </c>
      <c r="F975" t="str">
        <f>""</f>
        <v/>
      </c>
      <c r="G975" s="3">
        <v>303.86</v>
      </c>
      <c r="H975" t="str">
        <f t="shared" si="14"/>
        <v>CUST#2000172616/NOVEMBER</v>
      </c>
    </row>
    <row r="976" spans="5:8" x14ac:dyDescent="0.25">
      <c r="E976" t="str">
        <f>""</f>
        <v/>
      </c>
      <c r="F976" t="str">
        <f>""</f>
        <v/>
      </c>
      <c r="G976" s="3">
        <v>70.58</v>
      </c>
      <c r="H976" t="str">
        <f t="shared" si="14"/>
        <v>CUST#2000172616/NOVEMBER</v>
      </c>
    </row>
    <row r="977" spans="1:8" x14ac:dyDescent="0.25">
      <c r="E977" t="str">
        <f>""</f>
        <v/>
      </c>
      <c r="F977" t="str">
        <f>""</f>
        <v/>
      </c>
      <c r="G977" s="3">
        <v>70.58</v>
      </c>
      <c r="H977" t="str">
        <f t="shared" si="14"/>
        <v>CUST#2000172616/NOVEMBER</v>
      </c>
    </row>
    <row r="978" spans="1:8" x14ac:dyDescent="0.25">
      <c r="E978" t="str">
        <f>""</f>
        <v/>
      </c>
      <c r="F978" t="str">
        <f>""</f>
        <v/>
      </c>
      <c r="G978" s="3">
        <v>70.58</v>
      </c>
      <c r="H978" t="str">
        <f t="shared" si="14"/>
        <v>CUST#2000172616/NOVEMBER</v>
      </c>
    </row>
    <row r="979" spans="1:8" x14ac:dyDescent="0.25">
      <c r="A979" t="s">
        <v>329</v>
      </c>
      <c r="B979">
        <v>5277</v>
      </c>
      <c r="C979" s="3">
        <v>450</v>
      </c>
      <c r="D979" s="4">
        <v>44495</v>
      </c>
      <c r="E979" t="str">
        <f>"BCS0SEP21"</f>
        <v>BCS0SEP21</v>
      </c>
      <c r="F979" t="str">
        <f>"INV BCSOSEP21"</f>
        <v>INV BCSOSEP21</v>
      </c>
      <c r="G979" s="3">
        <v>450</v>
      </c>
      <c r="H979" t="str">
        <f>"INV BCSOSEP21"</f>
        <v>INV BCSOSEP21</v>
      </c>
    </row>
    <row r="980" spans="1:8" x14ac:dyDescent="0.25">
      <c r="A980" t="s">
        <v>330</v>
      </c>
      <c r="B980">
        <v>5306</v>
      </c>
      <c r="C980" s="3">
        <v>1200</v>
      </c>
      <c r="D980" s="4">
        <v>44495</v>
      </c>
      <c r="E980" t="str">
        <f>"202110196635"</f>
        <v>202110196635</v>
      </c>
      <c r="F980" t="str">
        <f>"17 259/PSYCH EVAL"</f>
        <v>17 259/PSYCH EVAL</v>
      </c>
      <c r="G980" s="3">
        <v>1200</v>
      </c>
      <c r="H980" t="str">
        <f>"17 259/PSYCH EVAL"</f>
        <v>17 259/PSYCH EVAL</v>
      </c>
    </row>
    <row r="981" spans="1:8" x14ac:dyDescent="0.25">
      <c r="A981" t="s">
        <v>331</v>
      </c>
      <c r="B981">
        <v>137290</v>
      </c>
      <c r="C981" s="3">
        <v>300</v>
      </c>
      <c r="D981" s="4">
        <v>44481</v>
      </c>
      <c r="E981" t="str">
        <f>"0054189-IN"</f>
        <v>0054189-IN</v>
      </c>
      <c r="F981" t="str">
        <f>"INV 0054189-IN"</f>
        <v>INV 0054189-IN</v>
      </c>
    </row>
    <row r="982" spans="1:8" x14ac:dyDescent="0.25">
      <c r="A982" t="s">
        <v>331</v>
      </c>
      <c r="B982">
        <v>137290</v>
      </c>
      <c r="C982" s="3">
        <v>300</v>
      </c>
      <c r="D982" s="4">
        <v>44500</v>
      </c>
      <c r="E982" t="str">
        <f>"CHECK"</f>
        <v>CHECK</v>
      </c>
      <c r="F982" t="str">
        <f>""</f>
        <v/>
      </c>
    </row>
    <row r="983" spans="1:8" x14ac:dyDescent="0.25">
      <c r="A983" t="s">
        <v>332</v>
      </c>
      <c r="B983">
        <v>137291</v>
      </c>
      <c r="C983" s="3">
        <v>145</v>
      </c>
      <c r="D983" s="4">
        <v>44481</v>
      </c>
      <c r="E983" t="str">
        <f>"210916-2"</f>
        <v>210916-2</v>
      </c>
      <c r="F983" t="str">
        <f>"210916-2"</f>
        <v>210916-2</v>
      </c>
      <c r="G983" s="3">
        <v>145</v>
      </c>
      <c r="H983" t="str">
        <f>"210916-2"</f>
        <v>210916-2</v>
      </c>
    </row>
    <row r="984" spans="1:8" x14ac:dyDescent="0.25">
      <c r="A984" t="s">
        <v>333</v>
      </c>
      <c r="B984">
        <v>137292</v>
      </c>
      <c r="C984" s="3">
        <v>333</v>
      </c>
      <c r="D984" s="4">
        <v>44481</v>
      </c>
      <c r="E984" t="str">
        <f>"202110066116"</f>
        <v>202110066116</v>
      </c>
      <c r="F984" t="str">
        <f>"DEVELOPMENT SVCS FEES/SEPT"</f>
        <v>DEVELOPMENT SVCS FEES/SEPT</v>
      </c>
      <c r="G984" s="3">
        <v>122</v>
      </c>
      <c r="H984" t="str">
        <f>"DEVELOPMENT SVCS FEES/SEPT"</f>
        <v>DEVELOPMENT SVCS FEES/SEPT</v>
      </c>
    </row>
    <row r="985" spans="1:8" x14ac:dyDescent="0.25">
      <c r="E985" t="str">
        <f>"202110066117"</f>
        <v>202110066117</v>
      </c>
      <c r="F985" t="str">
        <f>"DEVELOPMENT SVCS FEES/OCT"</f>
        <v>DEVELOPMENT SVCS FEES/OCT</v>
      </c>
      <c r="G985" s="3">
        <v>211</v>
      </c>
      <c r="H985" t="str">
        <f>"DEVELOPMENT SVCS FEES/OCT"</f>
        <v>DEVELOPMENT SVCS FEES/OCT</v>
      </c>
    </row>
    <row r="986" spans="1:8" x14ac:dyDescent="0.25">
      <c r="A986" t="s">
        <v>333</v>
      </c>
      <c r="B986">
        <v>137528</v>
      </c>
      <c r="C986" s="3">
        <v>186</v>
      </c>
      <c r="D986" s="4">
        <v>44494</v>
      </c>
      <c r="E986" t="str">
        <f>"202110196605"</f>
        <v>202110196605</v>
      </c>
      <c r="F986" t="str">
        <f>"LPHCP RECORDING FEE"</f>
        <v>LPHCP RECORDING FEE</v>
      </c>
      <c r="G986" s="3">
        <v>186</v>
      </c>
      <c r="H986" t="str">
        <f>"LPHCP RECORDING FEE"</f>
        <v>LPHCP RECORDING FEE</v>
      </c>
    </row>
    <row r="987" spans="1:8" x14ac:dyDescent="0.25">
      <c r="A987" t="s">
        <v>334</v>
      </c>
      <c r="B987">
        <v>137529</v>
      </c>
      <c r="C987" s="3">
        <v>58.95</v>
      </c>
      <c r="D987" s="4">
        <v>44494</v>
      </c>
      <c r="E987" t="str">
        <f>"CVCS69761"</f>
        <v>CVCS69761</v>
      </c>
      <c r="F987" t="str">
        <f>"CUST#9486/PCT#4"</f>
        <v>CUST#9486/PCT#4</v>
      </c>
      <c r="G987" s="3">
        <v>58.95</v>
      </c>
      <c r="H987" t="str">
        <f>"CUST#9486/PCT#4"</f>
        <v>CUST#9486/PCT#4</v>
      </c>
    </row>
    <row r="988" spans="1:8" x14ac:dyDescent="0.25">
      <c r="A988" t="s">
        <v>335</v>
      </c>
      <c r="B988">
        <v>137293</v>
      </c>
      <c r="C988" s="3">
        <v>165</v>
      </c>
      <c r="D988" s="4">
        <v>44481</v>
      </c>
      <c r="E988" t="str">
        <f>"3024961282"</f>
        <v>3024961282</v>
      </c>
      <c r="F988" t="str">
        <f>"CUST#109334/PCT#3"</f>
        <v>CUST#109334/PCT#3</v>
      </c>
      <c r="G988" s="3">
        <v>165</v>
      </c>
      <c r="H988" t="str">
        <f>"CUST#109334/PCT#3"</f>
        <v>CUST#109334/PCT#3</v>
      </c>
    </row>
    <row r="989" spans="1:8" x14ac:dyDescent="0.25">
      <c r="A989" t="s">
        <v>336</v>
      </c>
      <c r="B989">
        <v>137530</v>
      </c>
      <c r="C989" s="3">
        <v>127.48</v>
      </c>
      <c r="D989" s="4">
        <v>44494</v>
      </c>
      <c r="E989" t="str">
        <f>"37585"</f>
        <v>37585</v>
      </c>
      <c r="F989" t="str">
        <f>"ACCT#35019/WILDFIRE MIT"</f>
        <v>ACCT#35019/WILDFIRE MIT</v>
      </c>
      <c r="G989" s="3">
        <v>127.48</v>
      </c>
      <c r="H989" t="str">
        <f>"ACCT#35019/WILDFIRE MIT"</f>
        <v>ACCT#35019/WILDFIRE MIT</v>
      </c>
    </row>
    <row r="990" spans="1:8" x14ac:dyDescent="0.25">
      <c r="A990" t="s">
        <v>337</v>
      </c>
      <c r="B990">
        <v>5308</v>
      </c>
      <c r="C990" s="3">
        <v>206.31</v>
      </c>
      <c r="D990" s="4">
        <v>44495</v>
      </c>
      <c r="E990" t="str">
        <f>"202110196617"</f>
        <v>202110196617</v>
      </c>
      <c r="F990" t="str">
        <f>"INDIGENT HEALTH"</f>
        <v>INDIGENT HEALTH</v>
      </c>
      <c r="G990" s="3">
        <v>113.27</v>
      </c>
      <c r="H990" t="str">
        <f>"INDIGENT HEALTH"</f>
        <v>INDIGENT HEALTH</v>
      </c>
    </row>
    <row r="991" spans="1:8" x14ac:dyDescent="0.25">
      <c r="E991" t="str">
        <f>"202110196618"</f>
        <v>202110196618</v>
      </c>
      <c r="F991" t="str">
        <f>"INDIGENT HEALTH"</f>
        <v>INDIGENT HEALTH</v>
      </c>
      <c r="G991" s="3">
        <v>93.04</v>
      </c>
      <c r="H991" t="str">
        <f>"INDIGENT HEALTH"</f>
        <v>INDIGENT HEALTH</v>
      </c>
    </row>
    <row r="992" spans="1:8" x14ac:dyDescent="0.25">
      <c r="A992" t="s">
        <v>338</v>
      </c>
      <c r="B992">
        <v>137531</v>
      </c>
      <c r="C992" s="3">
        <v>18447.330000000002</v>
      </c>
      <c r="D992" s="4">
        <v>44494</v>
      </c>
      <c r="E992" t="str">
        <f>"101421"</f>
        <v>101421</v>
      </c>
      <c r="F992" t="str">
        <f>"PRESCRIPTION ASSISTANCE PROGRA"</f>
        <v>PRESCRIPTION ASSISTANCE PROGRA</v>
      </c>
      <c r="G992" s="3">
        <v>3400</v>
      </c>
      <c r="H992" t="str">
        <f>"PRESCRIPTION ASSISTANCE PROGRA"</f>
        <v>PRESCRIPTION ASSISTANCE PROGRA</v>
      </c>
    </row>
    <row r="993" spans="1:8" x14ac:dyDescent="0.25">
      <c r="E993" t="str">
        <f>"202110196613"</f>
        <v>202110196613</v>
      </c>
      <c r="F993" t="str">
        <f>"INDIGENT HEALTH"</f>
        <v>INDIGENT HEALTH</v>
      </c>
      <c r="G993" s="3">
        <v>15047.33</v>
      </c>
      <c r="H993" t="str">
        <f>"INDIGENT HEALTH"</f>
        <v>INDIGENT HEALTH</v>
      </c>
    </row>
    <row r="994" spans="1:8" x14ac:dyDescent="0.25">
      <c r="A994" t="s">
        <v>339</v>
      </c>
      <c r="B994">
        <v>137294</v>
      </c>
      <c r="C994" s="3">
        <v>50</v>
      </c>
      <c r="D994" s="4">
        <v>44481</v>
      </c>
      <c r="E994" t="s">
        <v>340</v>
      </c>
      <c r="F994" s="3" t="str">
        <f>"RESTITUTION - DEBRA MCCOMB"</f>
        <v>RESTITUTION - DEBRA MCCOMB</v>
      </c>
      <c r="G994" s="3">
        <v>50</v>
      </c>
      <c r="H994" s="3" t="str">
        <f>"RESTITUTION - DEBRA MCCOMB"</f>
        <v>RESTITUTION - DEBRA MCCOMB</v>
      </c>
    </row>
    <row r="995" spans="1:8" x14ac:dyDescent="0.25">
      <c r="A995" t="s">
        <v>341</v>
      </c>
      <c r="B995">
        <v>137295</v>
      </c>
      <c r="C995" s="3">
        <v>256.12</v>
      </c>
      <c r="D995" s="4">
        <v>44481</v>
      </c>
      <c r="E995" t="str">
        <f>"GB427944"</f>
        <v>GB427944</v>
      </c>
      <c r="F995" t="str">
        <f>"SHI GOVERNMENT SOLUTIONS INC."</f>
        <v>SHI GOVERNMENT SOLUTIONS INC.</v>
      </c>
      <c r="G995" s="3">
        <v>256.12</v>
      </c>
      <c r="H995" t="str">
        <f>"INV GB00427944"</f>
        <v>INV GB00427944</v>
      </c>
    </row>
    <row r="996" spans="1:8" x14ac:dyDescent="0.25">
      <c r="A996" t="s">
        <v>341</v>
      </c>
      <c r="B996">
        <v>137532</v>
      </c>
      <c r="C996" s="3">
        <v>768.36</v>
      </c>
      <c r="D996" s="4">
        <v>44494</v>
      </c>
      <c r="E996" t="str">
        <f>"26530"</f>
        <v>26530</v>
      </c>
      <c r="F996" t="str">
        <f>"SHI Cisco Phones"</f>
        <v>SHI Cisco Phones</v>
      </c>
      <c r="G996" s="3">
        <v>512.24</v>
      </c>
      <c r="H996" t="str">
        <f>"SHI Cisco Phones"</f>
        <v>SHI Cisco Phones</v>
      </c>
    </row>
    <row r="997" spans="1:8" x14ac:dyDescent="0.25">
      <c r="E997" t="str">
        <f>"26679"</f>
        <v>26679</v>
      </c>
      <c r="F997" t="str">
        <f>"Cisco IP Phone 8811"</f>
        <v>Cisco IP Phone 8811</v>
      </c>
      <c r="G997" s="3">
        <v>256.12</v>
      </c>
      <c r="H997" t="str">
        <f>"Cisco IP Phone 8811"</f>
        <v>Cisco IP Phone 8811</v>
      </c>
    </row>
    <row r="998" spans="1:8" x14ac:dyDescent="0.25">
      <c r="A998" t="s">
        <v>342</v>
      </c>
      <c r="B998">
        <v>137533</v>
      </c>
      <c r="C998" s="3">
        <v>51.38</v>
      </c>
      <c r="D998" s="4">
        <v>44494</v>
      </c>
      <c r="E998" t="str">
        <f>"1376245"</f>
        <v>1376245</v>
      </c>
      <c r="F998" t="str">
        <f>"ACCT#550615/PCT#4"</f>
        <v>ACCT#550615/PCT#4</v>
      </c>
      <c r="G998" s="3">
        <v>51.38</v>
      </c>
      <c r="H998" t="str">
        <f>"ACCT#550615/PCT#4"</f>
        <v>ACCT#550615/PCT#4</v>
      </c>
    </row>
    <row r="999" spans="1:8" x14ac:dyDescent="0.25">
      <c r="A999" t="s">
        <v>343</v>
      </c>
      <c r="B999">
        <v>137534</v>
      </c>
      <c r="C999" s="3">
        <v>1208.8599999999999</v>
      </c>
      <c r="D999" s="4">
        <v>44494</v>
      </c>
      <c r="E999" t="str">
        <f>"8000112894"</f>
        <v>8000112894</v>
      </c>
      <c r="F999" t="str">
        <f>"INV 8000112894"</f>
        <v>INV 8000112894</v>
      </c>
      <c r="G999" s="3">
        <v>175.52</v>
      </c>
      <c r="H999" t="str">
        <f>"INV 8000112894 (LE)"</f>
        <v>INV 8000112894 (LE)</v>
      </c>
    </row>
    <row r="1000" spans="1:8" x14ac:dyDescent="0.25">
      <c r="E1000" t="str">
        <f>""</f>
        <v/>
      </c>
      <c r="F1000" t="str">
        <f>""</f>
        <v/>
      </c>
      <c r="G1000" s="3">
        <v>175.51</v>
      </c>
      <c r="H1000" t="str">
        <f>"INV 8000112894 (JAIL"</f>
        <v>INV 8000112894 (JAIL</v>
      </c>
    </row>
    <row r="1001" spans="1:8" x14ac:dyDescent="0.25">
      <c r="E1001" t="str">
        <f>"8000113255"</f>
        <v>8000113255</v>
      </c>
      <c r="F1001" t="str">
        <f>"CUST#1000374050/REGULAR SERVIC"</f>
        <v>CUST#1000374050/REGULAR SERVIC</v>
      </c>
      <c r="G1001" s="3">
        <v>31.85</v>
      </c>
      <c r="H1001" t="str">
        <f>"CUST#1000374050/REGULAR SERVIC"</f>
        <v>CUST#1000374050/REGULAR SERVIC</v>
      </c>
    </row>
    <row r="1002" spans="1:8" x14ac:dyDescent="0.25">
      <c r="E1002" t="str">
        <f>""</f>
        <v/>
      </c>
      <c r="F1002" t="str">
        <f>""</f>
        <v/>
      </c>
      <c r="G1002" s="3">
        <v>31.85</v>
      </c>
      <c r="H1002" t="str">
        <f>"CUST#1000374050/REGULAR SERVIC"</f>
        <v>CUST#1000374050/REGULAR SERVIC</v>
      </c>
    </row>
    <row r="1003" spans="1:8" x14ac:dyDescent="0.25">
      <c r="E1003" t="str">
        <f>""</f>
        <v/>
      </c>
      <c r="F1003" t="str">
        <f>""</f>
        <v/>
      </c>
      <c r="G1003" s="3">
        <v>44.38</v>
      </c>
      <c r="H1003" t="str">
        <f>"CUST#1000374050/REGULAR SERVIC"</f>
        <v>CUST#1000374050/REGULAR SERVIC</v>
      </c>
    </row>
    <row r="1004" spans="1:8" x14ac:dyDescent="0.25">
      <c r="E1004" t="str">
        <f>"8000113459"</f>
        <v>8000113459</v>
      </c>
      <c r="F1004" t="str">
        <f>"CUST#100374545/REG SVC"</f>
        <v>CUST#100374545/REG SVC</v>
      </c>
      <c r="G1004" s="3">
        <v>148.22</v>
      </c>
      <c r="H1004" t="str">
        <f>"CUST#100374545/REG SVC"</f>
        <v>CUST#100374545/REG SVC</v>
      </c>
    </row>
    <row r="1005" spans="1:8" x14ac:dyDescent="0.25">
      <c r="E1005" t="str">
        <f>"8000113564"</f>
        <v>8000113564</v>
      </c>
      <c r="F1005" t="str">
        <f>"CUST#1000374834/REGULAR SVC"</f>
        <v>CUST#1000374834/REGULAR SVC</v>
      </c>
      <c r="G1005" s="3">
        <v>39.630000000000003</v>
      </c>
      <c r="H1005" t="str">
        <f>"CUST#1000374834/REGULAR SVC"</f>
        <v>CUST#1000374834/REGULAR SVC</v>
      </c>
    </row>
    <row r="1006" spans="1:8" x14ac:dyDescent="0.25">
      <c r="E1006" t="str">
        <f>""</f>
        <v/>
      </c>
      <c r="F1006" t="str">
        <f>""</f>
        <v/>
      </c>
      <c r="G1006" s="3">
        <v>39.619999999999997</v>
      </c>
      <c r="H1006" t="str">
        <f>"CUST#1000374834/REGULAR SVC"</f>
        <v>CUST#1000374834/REGULAR SVC</v>
      </c>
    </row>
    <row r="1007" spans="1:8" x14ac:dyDescent="0.25">
      <c r="E1007" t="str">
        <f>"8000147666"</f>
        <v>8000147666</v>
      </c>
      <c r="F1007" t="str">
        <f>"CUST#3000355513/REGULAR SERVIC"</f>
        <v>CUST#3000355513/REGULAR SERVIC</v>
      </c>
      <c r="G1007" s="3">
        <v>78.34</v>
      </c>
      <c r="H1007" t="str">
        <f t="shared" ref="H1007:H1012" si="15">"CUST#3000355513/REGULAR SERVIC"</f>
        <v>CUST#3000355513/REGULAR SERVIC</v>
      </c>
    </row>
    <row r="1008" spans="1:8" x14ac:dyDescent="0.25">
      <c r="E1008" t="str">
        <f>""</f>
        <v/>
      </c>
      <c r="F1008" t="str">
        <f>""</f>
        <v/>
      </c>
      <c r="G1008" s="3">
        <v>78.34</v>
      </c>
      <c r="H1008" t="str">
        <f t="shared" si="15"/>
        <v>CUST#3000355513/REGULAR SERVIC</v>
      </c>
    </row>
    <row r="1009" spans="1:8" x14ac:dyDescent="0.25">
      <c r="E1009" t="str">
        <f>""</f>
        <v/>
      </c>
      <c r="F1009" t="str">
        <f>""</f>
        <v/>
      </c>
      <c r="G1009" s="3">
        <v>78.34</v>
      </c>
      <c r="H1009" t="str">
        <f t="shared" si="15"/>
        <v>CUST#3000355513/REGULAR SERVIC</v>
      </c>
    </row>
    <row r="1010" spans="1:8" x14ac:dyDescent="0.25">
      <c r="E1010" t="str">
        <f>""</f>
        <v/>
      </c>
      <c r="F1010" t="str">
        <f>""</f>
        <v/>
      </c>
      <c r="G1010" s="3">
        <v>130.59</v>
      </c>
      <c r="H1010" t="str">
        <f t="shared" si="15"/>
        <v>CUST#3000355513/REGULAR SERVIC</v>
      </c>
    </row>
    <row r="1011" spans="1:8" x14ac:dyDescent="0.25">
      <c r="E1011" t="str">
        <f>""</f>
        <v/>
      </c>
      <c r="F1011" t="str">
        <f>""</f>
        <v/>
      </c>
      <c r="G1011" s="3">
        <v>78.34</v>
      </c>
      <c r="H1011" t="str">
        <f t="shared" si="15"/>
        <v>CUST#3000355513/REGULAR SERVIC</v>
      </c>
    </row>
    <row r="1012" spans="1:8" x14ac:dyDescent="0.25">
      <c r="E1012" t="str">
        <f>""</f>
        <v/>
      </c>
      <c r="F1012" t="str">
        <f>""</f>
        <v/>
      </c>
      <c r="G1012" s="3">
        <v>78.33</v>
      </c>
      <c r="H1012" t="str">
        <f t="shared" si="15"/>
        <v>CUST#3000355513/REGULAR SERVIC</v>
      </c>
    </row>
    <row r="1013" spans="1:8" x14ac:dyDescent="0.25">
      <c r="A1013" t="s">
        <v>344</v>
      </c>
      <c r="B1013">
        <v>137535</v>
      </c>
      <c r="C1013" s="3">
        <v>1080.53</v>
      </c>
      <c r="D1013" s="4">
        <v>44494</v>
      </c>
      <c r="E1013" t="str">
        <f>"202110196623"</f>
        <v>202110196623</v>
      </c>
      <c r="F1013" t="str">
        <f>"INDIGENT HEALTH"</f>
        <v>INDIGENT HEALTH</v>
      </c>
      <c r="G1013" s="3">
        <v>1080.53</v>
      </c>
      <c r="H1013" t="str">
        <f>"INDIGENT HEALTH"</f>
        <v>INDIGENT HEALTH</v>
      </c>
    </row>
    <row r="1014" spans="1:8" x14ac:dyDescent="0.25">
      <c r="A1014" t="s">
        <v>345</v>
      </c>
      <c r="B1014">
        <v>5188</v>
      </c>
      <c r="C1014" s="3">
        <v>96292.08</v>
      </c>
      <c r="D1014" s="4">
        <v>44482</v>
      </c>
      <c r="E1014" t="str">
        <f>"202110066127"</f>
        <v>202110066127</v>
      </c>
      <c r="F1014" t="str">
        <f>"OUTFIT VEHICLES"</f>
        <v>OUTFIT VEHICLES</v>
      </c>
      <c r="G1014" s="3">
        <v>8448.66</v>
      </c>
      <c r="H1014" t="str">
        <f>"UPFIT VEHICLES"</f>
        <v>UPFIT VEHICLES</v>
      </c>
    </row>
    <row r="1015" spans="1:8" x14ac:dyDescent="0.25">
      <c r="E1015" t="str">
        <f>"601-19"</f>
        <v>601-19</v>
      </c>
      <c r="F1015" t="str">
        <f>"OUT FIT 6 VEHICLES"</f>
        <v>OUT FIT 6 VEHICLES</v>
      </c>
      <c r="G1015" s="3">
        <v>87843.42</v>
      </c>
      <c r="H1015" t="str">
        <f>"OUT FIT 6 VEHICLES"</f>
        <v>OUT FIT 6 VEHICLES</v>
      </c>
    </row>
    <row r="1016" spans="1:8" x14ac:dyDescent="0.25">
      <c r="A1016" t="s">
        <v>346</v>
      </c>
      <c r="B1016">
        <v>137296</v>
      </c>
      <c r="C1016" s="3">
        <v>133.12</v>
      </c>
      <c r="D1016" s="4">
        <v>44481</v>
      </c>
      <c r="E1016" t="str">
        <f>"202109305925"</f>
        <v>202109305925</v>
      </c>
      <c r="F1016" t="str">
        <f>"JAIL MEDICAL"</f>
        <v>JAIL MEDICAL</v>
      </c>
      <c r="G1016" s="3">
        <v>63.62</v>
      </c>
      <c r="H1016" t="str">
        <f>"JAIL MEDICAL"</f>
        <v>JAIL MEDICAL</v>
      </c>
    </row>
    <row r="1017" spans="1:8" x14ac:dyDescent="0.25">
      <c r="E1017" t="str">
        <f>"202110066118"</f>
        <v>202110066118</v>
      </c>
      <c r="F1017" t="str">
        <f>"JAIL MEDICAL"</f>
        <v>JAIL MEDICAL</v>
      </c>
      <c r="G1017" s="3">
        <v>69.5</v>
      </c>
      <c r="H1017" t="str">
        <f>"JAIL MEDICAL"</f>
        <v>JAIL MEDICAL</v>
      </c>
    </row>
    <row r="1018" spans="1:8" x14ac:dyDescent="0.25">
      <c r="A1018" t="s">
        <v>346</v>
      </c>
      <c r="B1018">
        <v>137536</v>
      </c>
      <c r="C1018" s="3">
        <v>182.04</v>
      </c>
      <c r="D1018" s="4">
        <v>44494</v>
      </c>
      <c r="E1018" t="str">
        <f>"202110196624"</f>
        <v>202110196624</v>
      </c>
      <c r="F1018" t="str">
        <f>"INDIGENT HEALTH"</f>
        <v>INDIGENT HEALTH</v>
      </c>
      <c r="G1018" s="3">
        <v>175.09</v>
      </c>
      <c r="H1018" t="str">
        <f>"INDIGENT HEALTH"</f>
        <v>INDIGENT HEALTH</v>
      </c>
    </row>
    <row r="1019" spans="1:8" x14ac:dyDescent="0.25">
      <c r="E1019" t="str">
        <f>"4845*146*1"</f>
        <v>4845*146*1</v>
      </c>
      <c r="F1019" t="str">
        <f>"JAIL MEDICAL"</f>
        <v>JAIL MEDICAL</v>
      </c>
      <c r="G1019" s="3">
        <v>6.95</v>
      </c>
      <c r="H1019" t="str">
        <f>"JAIL MEDICAL"</f>
        <v>JAIL MEDICAL</v>
      </c>
    </row>
    <row r="1020" spans="1:8" x14ac:dyDescent="0.25">
      <c r="A1020" t="s">
        <v>347</v>
      </c>
      <c r="B1020">
        <v>137297</v>
      </c>
      <c r="C1020" s="3">
        <v>3653.7</v>
      </c>
      <c r="D1020" s="4">
        <v>44481</v>
      </c>
      <c r="E1020" t="str">
        <f>"37577"</f>
        <v>37577</v>
      </c>
      <c r="F1020" t="str">
        <f>"CULVERTS/PCT#1"</f>
        <v>CULVERTS/PCT#1</v>
      </c>
      <c r="G1020" s="3">
        <v>3630.75</v>
      </c>
      <c r="H1020" t="str">
        <f>"CULVERTS/PCT#1"</f>
        <v>CULVERTS/PCT#1</v>
      </c>
    </row>
    <row r="1021" spans="1:8" x14ac:dyDescent="0.25">
      <c r="E1021" t="str">
        <f>"37578"</f>
        <v>37578</v>
      </c>
      <c r="F1021" t="str">
        <f>"SUPPLIES/PCT#2"</f>
        <v>SUPPLIES/PCT#2</v>
      </c>
      <c r="G1021" s="3">
        <v>22.95</v>
      </c>
      <c r="H1021" t="str">
        <f>"SUPPLIES/PCT#2"</f>
        <v>SUPPLIES/PCT#2</v>
      </c>
    </row>
    <row r="1022" spans="1:8" x14ac:dyDescent="0.25">
      <c r="A1022" t="s">
        <v>348</v>
      </c>
      <c r="B1022">
        <v>137537</v>
      </c>
      <c r="C1022" s="3">
        <v>1158.1099999999999</v>
      </c>
      <c r="D1022" s="4">
        <v>44494</v>
      </c>
      <c r="E1022" t="str">
        <f>"514085"</f>
        <v>514085</v>
      </c>
      <c r="F1022" t="str">
        <f>"ACCT 260 PCT 2"</f>
        <v>ACCT 260 PCT 2</v>
      </c>
      <c r="G1022" s="3">
        <v>1158.1099999999999</v>
      </c>
      <c r="H1022" t="str">
        <f>"ACCT 260 PCT 2"</f>
        <v>ACCT 260 PCT 2</v>
      </c>
    </row>
    <row r="1023" spans="1:8" x14ac:dyDescent="0.25">
      <c r="A1023" t="s">
        <v>349</v>
      </c>
      <c r="B1023">
        <v>137298</v>
      </c>
      <c r="C1023" s="3">
        <v>2500</v>
      </c>
      <c r="D1023" s="4">
        <v>44481</v>
      </c>
      <c r="E1023" t="str">
        <f>"202110056071"</f>
        <v>202110056071</v>
      </c>
      <c r="F1023" t="str">
        <f>"FY 21-22 BUDGET"</f>
        <v>FY 21-22 BUDGET</v>
      </c>
      <c r="G1023" s="3">
        <v>2500</v>
      </c>
      <c r="H1023" t="str">
        <f>"FY 21-22 BUDGET"</f>
        <v>FY 21-22 BUDGET</v>
      </c>
    </row>
    <row r="1024" spans="1:8" x14ac:dyDescent="0.25">
      <c r="A1024" t="s">
        <v>350</v>
      </c>
      <c r="B1024">
        <v>137299</v>
      </c>
      <c r="C1024" s="3">
        <v>7000</v>
      </c>
      <c r="D1024" s="4">
        <v>44481</v>
      </c>
      <c r="E1024" t="str">
        <f>"202110045976"</f>
        <v>202110045976</v>
      </c>
      <c r="F1024" t="str">
        <f>"FY 2021-2022 FUNDING"</f>
        <v>FY 2021-2022 FUNDING</v>
      </c>
      <c r="G1024" s="3">
        <v>7000</v>
      </c>
      <c r="H1024" t="str">
        <f>"FY 2021-2022 FUNDING"</f>
        <v>FY 2021-2022 FUNDING</v>
      </c>
    </row>
    <row r="1025" spans="1:8" x14ac:dyDescent="0.25">
      <c r="A1025" t="s">
        <v>351</v>
      </c>
      <c r="B1025">
        <v>137300</v>
      </c>
      <c r="C1025" s="3">
        <v>15000</v>
      </c>
      <c r="D1025" s="4">
        <v>44481</v>
      </c>
      <c r="E1025" t="str">
        <f>"202110066133"</f>
        <v>202110066133</v>
      </c>
      <c r="F1025" t="str">
        <f>"FY 21-22"</f>
        <v>FY 21-22</v>
      </c>
      <c r="G1025" s="3">
        <v>15000</v>
      </c>
      <c r="H1025" t="str">
        <f>"FY 21-22"</f>
        <v>FY 21-22</v>
      </c>
    </row>
    <row r="1026" spans="1:8" x14ac:dyDescent="0.25">
      <c r="A1026" t="s">
        <v>352</v>
      </c>
      <c r="B1026">
        <v>137301</v>
      </c>
      <c r="C1026" s="3">
        <v>490.42</v>
      </c>
      <c r="D1026" s="4">
        <v>44481</v>
      </c>
      <c r="E1026" t="str">
        <f>"22T-282"</f>
        <v>22T-282</v>
      </c>
      <c r="F1026" t="str">
        <f>"SEP 2021 - PERMIT/GIS"</f>
        <v>SEP 2021 - PERMIT/GIS</v>
      </c>
      <c r="G1026" s="3">
        <v>490.42</v>
      </c>
      <c r="H1026" t="str">
        <f>"SEP 2021 - PERMIT/GIS"</f>
        <v>SEP 2021 - PERMIT/GIS</v>
      </c>
    </row>
    <row r="1027" spans="1:8" x14ac:dyDescent="0.25">
      <c r="A1027" t="s">
        <v>353</v>
      </c>
      <c r="B1027">
        <v>137538</v>
      </c>
      <c r="C1027" s="3">
        <v>527.85</v>
      </c>
      <c r="D1027" s="4">
        <v>44494</v>
      </c>
      <c r="E1027" t="str">
        <f>"202110206646"</f>
        <v>202110206646</v>
      </c>
      <c r="F1027" t="str">
        <f>"Printer"</f>
        <v>Printer</v>
      </c>
      <c r="G1027" s="3">
        <v>1509.2</v>
      </c>
      <c r="H1027" t="str">
        <f>"HP LaserJet"</f>
        <v>HP LaserJet</v>
      </c>
    </row>
    <row r="1028" spans="1:8" x14ac:dyDescent="0.25">
      <c r="E1028" t="str">
        <f>""</f>
        <v/>
      </c>
      <c r="F1028" t="str">
        <f>""</f>
        <v/>
      </c>
      <c r="G1028" s="3">
        <v>-981.35</v>
      </c>
      <c r="H1028" t="str">
        <f>"Credit"</f>
        <v>Credit</v>
      </c>
    </row>
    <row r="1029" spans="1:8" x14ac:dyDescent="0.25">
      <c r="A1029" t="s">
        <v>354</v>
      </c>
      <c r="B1029">
        <v>137302</v>
      </c>
      <c r="C1029" s="3">
        <v>4670.0200000000004</v>
      </c>
      <c r="D1029" s="4">
        <v>44481</v>
      </c>
      <c r="E1029" t="str">
        <f>"4650090640"</f>
        <v>4650090640</v>
      </c>
      <c r="F1029" t="str">
        <f>"ACCT#0052157/PCT#3"</f>
        <v>ACCT#0052157/PCT#3</v>
      </c>
      <c r="G1029" s="3">
        <v>1605.56</v>
      </c>
      <c r="H1029" t="str">
        <f>"ACCT#0052157/PCT#3"</f>
        <v>ACCT#0052157/PCT#3</v>
      </c>
    </row>
    <row r="1030" spans="1:8" x14ac:dyDescent="0.25">
      <c r="E1030" t="str">
        <f>"4650090865"</f>
        <v>4650090865</v>
      </c>
      <c r="F1030" t="str">
        <f>"ACCT#0052157/PCT#3"</f>
        <v>ACCT#0052157/PCT#3</v>
      </c>
      <c r="G1030" s="3">
        <v>2813.8</v>
      </c>
      <c r="H1030" t="str">
        <f>"ACCT#0052157/PCT#3"</f>
        <v>ACCT#0052157/PCT#3</v>
      </c>
    </row>
    <row r="1031" spans="1:8" x14ac:dyDescent="0.25">
      <c r="E1031" t="str">
        <f>"4660034994"</f>
        <v>4660034994</v>
      </c>
      <c r="F1031" t="str">
        <f>"CUST#0052158/PCT#2"</f>
        <v>CUST#0052158/PCT#2</v>
      </c>
      <c r="G1031" s="3">
        <v>250.66</v>
      </c>
      <c r="H1031" t="str">
        <f>"CUST#0052158/PCT#2"</f>
        <v>CUST#0052158/PCT#2</v>
      </c>
    </row>
    <row r="1032" spans="1:8" x14ac:dyDescent="0.25">
      <c r="A1032" t="s">
        <v>354</v>
      </c>
      <c r="B1032">
        <v>137539</v>
      </c>
      <c r="C1032" s="3">
        <v>12072.01</v>
      </c>
      <c r="D1032" s="4">
        <v>44494</v>
      </c>
      <c r="E1032" t="str">
        <f>"4240033587"</f>
        <v>4240033587</v>
      </c>
      <c r="F1032" t="str">
        <f>"INV 4240033587"</f>
        <v>INV 4240033587</v>
      </c>
      <c r="G1032" s="3">
        <v>1570.08</v>
      </c>
      <c r="H1032" t="str">
        <f>"INV 4240033587"</f>
        <v>INV 4240033587</v>
      </c>
    </row>
    <row r="1033" spans="1:8" x14ac:dyDescent="0.25">
      <c r="E1033" t="str">
        <f>"42400336658"</f>
        <v>42400336658</v>
      </c>
      <c r="F1033" t="str">
        <f>"INV 42400336658"</f>
        <v>INV 42400336658</v>
      </c>
      <c r="G1033" s="3">
        <v>619.28</v>
      </c>
      <c r="H1033" t="str">
        <f>"INV 42400336658"</f>
        <v>INV 42400336658</v>
      </c>
    </row>
    <row r="1034" spans="1:8" x14ac:dyDescent="0.25">
      <c r="E1034" t="str">
        <f>"4240033852"</f>
        <v>4240033852</v>
      </c>
      <c r="F1034" t="str">
        <f>"INV 4240033852"</f>
        <v>INV 4240033852</v>
      </c>
      <c r="G1034" s="3">
        <v>647.28</v>
      </c>
      <c r="H1034" t="str">
        <f>"INV 4240033852"</f>
        <v>INV 4240033852</v>
      </c>
    </row>
    <row r="1035" spans="1:8" x14ac:dyDescent="0.25">
      <c r="E1035" t="str">
        <f>"4240033932"</f>
        <v>4240033932</v>
      </c>
      <c r="F1035" t="str">
        <f>"INV 4240033932"</f>
        <v>INV 4240033932</v>
      </c>
      <c r="G1035" s="3">
        <v>652.44000000000005</v>
      </c>
      <c r="H1035" t="str">
        <f>"INV 4240033932"</f>
        <v>INV 4240033932</v>
      </c>
    </row>
    <row r="1036" spans="1:8" x14ac:dyDescent="0.25">
      <c r="E1036" t="str">
        <f>"4240034091"</f>
        <v>4240034091</v>
      </c>
      <c r="F1036" t="str">
        <f>"INV 4240034091"</f>
        <v>INV 4240034091</v>
      </c>
      <c r="G1036" s="3">
        <v>1619.8</v>
      </c>
      <c r="H1036" t="str">
        <f>"INV 4240034091"</f>
        <v>INV 4240034091</v>
      </c>
    </row>
    <row r="1037" spans="1:8" x14ac:dyDescent="0.25">
      <c r="E1037" t="str">
        <f>"4650089861"</f>
        <v>4650089861</v>
      </c>
      <c r="F1037" t="str">
        <f>"CUST#0052157/PCT#4"</f>
        <v>CUST#0052157/PCT#4</v>
      </c>
      <c r="G1037" s="3">
        <v>1334</v>
      </c>
      <c r="H1037" t="str">
        <f>"CUST#0052157/PCT#4"</f>
        <v>CUST#0052157/PCT#4</v>
      </c>
    </row>
    <row r="1038" spans="1:8" x14ac:dyDescent="0.25">
      <c r="E1038" t="str">
        <f>"4650090421"</f>
        <v>4650090421</v>
      </c>
      <c r="F1038" t="str">
        <f>"ACCT#0052157/PCT#3"</f>
        <v>ACCT#0052157/PCT#3</v>
      </c>
      <c r="G1038" s="3">
        <v>306.49</v>
      </c>
      <c r="H1038" t="str">
        <f>"ACCT#0052157/PCT#3"</f>
        <v>ACCT#0052157/PCT#3</v>
      </c>
    </row>
    <row r="1039" spans="1:8" x14ac:dyDescent="0.25">
      <c r="E1039" t="str">
        <f>"4650091492"</f>
        <v>4650091492</v>
      </c>
      <c r="F1039" t="str">
        <f>"CUST#0052158/PCT#4"</f>
        <v>CUST#0052158/PCT#4</v>
      </c>
      <c r="G1039" s="3">
        <v>1672</v>
      </c>
      <c r="H1039" t="str">
        <f>"CUST#0052158/PCT#4"</f>
        <v>CUST#0052158/PCT#4</v>
      </c>
    </row>
    <row r="1040" spans="1:8" x14ac:dyDescent="0.25">
      <c r="E1040" t="str">
        <f>"4650091802"</f>
        <v>4650091802</v>
      </c>
      <c r="F1040" t="str">
        <f>"ACCT#0052157/PCT#3"</f>
        <v>ACCT#0052157/PCT#3</v>
      </c>
      <c r="G1040" s="3">
        <v>1331.4</v>
      </c>
      <c r="H1040" t="str">
        <f>"ACCT#0052157/PCT#3"</f>
        <v>ACCT#0052157/PCT#3</v>
      </c>
    </row>
    <row r="1041" spans="1:8" x14ac:dyDescent="0.25">
      <c r="E1041" t="str">
        <f>"4650092165"</f>
        <v>4650092165</v>
      </c>
      <c r="F1041" t="str">
        <f>"CUST#0052157/PCT#4"</f>
        <v>CUST#0052157/PCT#4</v>
      </c>
      <c r="G1041" s="3">
        <v>586.74</v>
      </c>
      <c r="H1041" t="str">
        <f>"CUST#0052157/PCT#4"</f>
        <v>CUST#0052157/PCT#4</v>
      </c>
    </row>
    <row r="1042" spans="1:8" x14ac:dyDescent="0.25">
      <c r="E1042" t="str">
        <f>"4650092167"</f>
        <v>4650092167</v>
      </c>
      <c r="F1042" t="str">
        <f>"CUST#0052157/PCT#4"</f>
        <v>CUST#0052157/PCT#4</v>
      </c>
      <c r="G1042" s="3">
        <v>836</v>
      </c>
      <c r="H1042" t="str">
        <f>"CUST#0052157/PCT#4"</f>
        <v>CUST#0052157/PCT#4</v>
      </c>
    </row>
    <row r="1043" spans="1:8" x14ac:dyDescent="0.25">
      <c r="E1043" t="str">
        <f>"4650092599"</f>
        <v>4650092599</v>
      </c>
      <c r="F1043" t="str">
        <f>"ACCT#0052157/PCT#3"</f>
        <v>ACCT#0052157/PCT#3</v>
      </c>
      <c r="G1043" s="3">
        <v>806</v>
      </c>
      <c r="H1043" t="str">
        <f>"ACCT#0052157/PCT#3"</f>
        <v>ACCT#0052157/PCT#3</v>
      </c>
    </row>
    <row r="1044" spans="1:8" x14ac:dyDescent="0.25">
      <c r="E1044" t="str">
        <f>"4660035177"</f>
        <v>4660035177</v>
      </c>
      <c r="F1044" t="str">
        <f>"CUST#0052157/PCT#1"</f>
        <v>CUST#0052157/PCT#1</v>
      </c>
      <c r="G1044" s="3">
        <v>90.5</v>
      </c>
      <c r="H1044" t="str">
        <f>"CUST#0052157/PCT#1"</f>
        <v>CUST#0052157/PCT#1</v>
      </c>
    </row>
    <row r="1045" spans="1:8" x14ac:dyDescent="0.25">
      <c r="A1045" t="s">
        <v>355</v>
      </c>
      <c r="B1045">
        <v>137540</v>
      </c>
      <c r="C1045" s="3">
        <v>330.53</v>
      </c>
      <c r="D1045" s="4">
        <v>44494</v>
      </c>
      <c r="E1045" t="str">
        <f>"S1175529"</f>
        <v>S1175529</v>
      </c>
      <c r="F1045" t="str">
        <f>"ACCT#114382/ANIMAL SHELTER"</f>
        <v>ACCT#114382/ANIMAL SHELTER</v>
      </c>
      <c r="G1045" s="3">
        <v>330.53</v>
      </c>
      <c r="H1045" t="str">
        <f>"ACCT#114382/ANIMAL SHELTER"</f>
        <v>ACCT#114382/ANIMAL SHELTER</v>
      </c>
    </row>
    <row r="1046" spans="1:8" x14ac:dyDescent="0.25">
      <c r="A1046" t="s">
        <v>356</v>
      </c>
      <c r="B1046">
        <v>137541</v>
      </c>
      <c r="C1046" s="3">
        <v>5167.9799999999996</v>
      </c>
      <c r="D1046" s="4">
        <v>44494</v>
      </c>
      <c r="E1046" t="str">
        <f>"202110196626"</f>
        <v>202110196626</v>
      </c>
      <c r="F1046" t="str">
        <f>"INDIGENT HEALTH"</f>
        <v>INDIGENT HEALTH</v>
      </c>
      <c r="G1046" s="3">
        <v>261.56</v>
      </c>
      <c r="H1046" t="str">
        <f>"INDIGENT HEALTH"</f>
        <v>INDIGENT HEALTH</v>
      </c>
    </row>
    <row r="1047" spans="1:8" x14ac:dyDescent="0.25">
      <c r="E1047" t="str">
        <f>"202110196627"</f>
        <v>202110196627</v>
      </c>
      <c r="F1047" t="str">
        <f>"INDIGENT HEALTH"</f>
        <v>INDIGENT HEALTH</v>
      </c>
      <c r="G1047" s="3">
        <v>855.62</v>
      </c>
      <c r="H1047" t="str">
        <f>"INDIGENT HEALTH"</f>
        <v>INDIGENT HEALTH</v>
      </c>
    </row>
    <row r="1048" spans="1:8" x14ac:dyDescent="0.25">
      <c r="E1048" t="str">
        <f>"4850*98030*1"</f>
        <v>4850*98030*1</v>
      </c>
      <c r="F1048" t="str">
        <f>"JAIL MEDICAL"</f>
        <v>JAIL MEDICAL</v>
      </c>
      <c r="G1048" s="3">
        <v>4050.8</v>
      </c>
      <c r="H1048" t="str">
        <f>"JAIL MEDICAL"</f>
        <v>JAIL MEDICAL</v>
      </c>
    </row>
    <row r="1049" spans="1:8" x14ac:dyDescent="0.25">
      <c r="A1049" t="s">
        <v>357</v>
      </c>
      <c r="B1049">
        <v>137542</v>
      </c>
      <c r="C1049" s="3">
        <v>30.74</v>
      </c>
      <c r="D1049" s="4">
        <v>44494</v>
      </c>
      <c r="E1049" t="str">
        <f>"202110196625"</f>
        <v>202110196625</v>
      </c>
      <c r="F1049" t="str">
        <f>"INDIGENT HEALTH"</f>
        <v>INDIGENT HEALTH</v>
      </c>
      <c r="G1049" s="3">
        <v>30.74</v>
      </c>
      <c r="H1049" t="str">
        <f>"INDIGENT HEALTH"</f>
        <v>INDIGENT HEALTH</v>
      </c>
    </row>
    <row r="1050" spans="1:8" x14ac:dyDescent="0.25">
      <c r="A1050" t="s">
        <v>358</v>
      </c>
      <c r="B1050">
        <v>137543</v>
      </c>
      <c r="C1050" s="3">
        <v>600.01</v>
      </c>
      <c r="D1050" s="4">
        <v>44494</v>
      </c>
      <c r="E1050" t="str">
        <f>"202110196628"</f>
        <v>202110196628</v>
      </c>
      <c r="F1050" t="str">
        <f>"INDIGENT HEALTH"</f>
        <v>INDIGENT HEALTH</v>
      </c>
      <c r="G1050" s="3">
        <v>600.01</v>
      </c>
      <c r="H1050" t="str">
        <f>"INDIGENT HEALTH"</f>
        <v>INDIGENT HEALTH</v>
      </c>
    </row>
    <row r="1051" spans="1:8" x14ac:dyDescent="0.25">
      <c r="A1051" t="s">
        <v>359</v>
      </c>
      <c r="B1051">
        <v>137303</v>
      </c>
      <c r="C1051" s="3">
        <v>2509.4299999999998</v>
      </c>
      <c r="D1051" s="4">
        <v>44481</v>
      </c>
      <c r="E1051" t="str">
        <f>"8063751661"</f>
        <v>8063751661</v>
      </c>
      <c r="F1051" t="str">
        <f>"Statement"</f>
        <v>Statement</v>
      </c>
      <c r="G1051" s="3">
        <v>104.65</v>
      </c>
      <c r="H1051" t="str">
        <f>"3488821540"</f>
        <v>3488821540</v>
      </c>
    </row>
    <row r="1052" spans="1:8" x14ac:dyDescent="0.25">
      <c r="E1052" t="str">
        <f>""</f>
        <v/>
      </c>
      <c r="F1052" t="str">
        <f>""</f>
        <v/>
      </c>
      <c r="G1052" s="3">
        <v>418.22</v>
      </c>
      <c r="H1052" t="str">
        <f>"3488821538"</f>
        <v>3488821538</v>
      </c>
    </row>
    <row r="1053" spans="1:8" x14ac:dyDescent="0.25">
      <c r="E1053" t="str">
        <f>""</f>
        <v/>
      </c>
      <c r="F1053" t="str">
        <f>""</f>
        <v/>
      </c>
      <c r="G1053" s="3">
        <v>58.55</v>
      </c>
      <c r="H1053" t="str">
        <f>"3488821539"</f>
        <v>3488821539</v>
      </c>
    </row>
    <row r="1054" spans="1:8" x14ac:dyDescent="0.25">
      <c r="E1054" t="str">
        <f>""</f>
        <v/>
      </c>
      <c r="F1054" t="str">
        <f>""</f>
        <v/>
      </c>
      <c r="G1054" s="3">
        <v>92.23</v>
      </c>
      <c r="H1054" t="str">
        <f>"3488821541"</f>
        <v>3488821541</v>
      </c>
    </row>
    <row r="1055" spans="1:8" x14ac:dyDescent="0.25">
      <c r="E1055" t="str">
        <f>""</f>
        <v/>
      </c>
      <c r="F1055" t="str">
        <f>""</f>
        <v/>
      </c>
      <c r="G1055" s="3">
        <v>559.34</v>
      </c>
      <c r="H1055" t="str">
        <f>"3488821531"</f>
        <v>3488821531</v>
      </c>
    </row>
    <row r="1056" spans="1:8" x14ac:dyDescent="0.25">
      <c r="E1056" t="str">
        <f>""</f>
        <v/>
      </c>
      <c r="F1056" t="str">
        <f>""</f>
        <v/>
      </c>
      <c r="G1056" s="3">
        <v>17.989999999999998</v>
      </c>
      <c r="H1056" t="str">
        <f>"3488821532"</f>
        <v>3488821532</v>
      </c>
    </row>
    <row r="1057" spans="1:8" x14ac:dyDescent="0.25">
      <c r="E1057" t="str">
        <f>""</f>
        <v/>
      </c>
      <c r="F1057" t="str">
        <f>""</f>
        <v/>
      </c>
      <c r="G1057" s="3">
        <v>17.989999999999998</v>
      </c>
      <c r="H1057" t="str">
        <f>"3488821533"</f>
        <v>3488821533</v>
      </c>
    </row>
    <row r="1058" spans="1:8" x14ac:dyDescent="0.25">
      <c r="E1058" t="str">
        <f>""</f>
        <v/>
      </c>
      <c r="F1058" t="str">
        <f>""</f>
        <v/>
      </c>
      <c r="G1058" s="3">
        <v>17.989999999999998</v>
      </c>
      <c r="H1058" t="str">
        <f>"3488821534"</f>
        <v>3488821534</v>
      </c>
    </row>
    <row r="1059" spans="1:8" x14ac:dyDescent="0.25">
      <c r="E1059" t="str">
        <f>""</f>
        <v/>
      </c>
      <c r="F1059" t="str">
        <f>""</f>
        <v/>
      </c>
      <c r="G1059" s="3">
        <v>17.989999999999998</v>
      </c>
      <c r="H1059" t="str">
        <f>"3488821535"</f>
        <v>3488821535</v>
      </c>
    </row>
    <row r="1060" spans="1:8" x14ac:dyDescent="0.25">
      <c r="E1060" t="str">
        <f>""</f>
        <v/>
      </c>
      <c r="F1060" t="str">
        <f>""</f>
        <v/>
      </c>
      <c r="G1060" s="3">
        <v>17.989999999999998</v>
      </c>
      <c r="H1060" t="str">
        <f>"3488821536"</f>
        <v>3488821536</v>
      </c>
    </row>
    <row r="1061" spans="1:8" x14ac:dyDescent="0.25">
      <c r="E1061" t="str">
        <f>""</f>
        <v/>
      </c>
      <c r="F1061" t="str">
        <f>""</f>
        <v/>
      </c>
      <c r="G1061" s="3">
        <v>112.11</v>
      </c>
      <c r="H1061" t="str">
        <f>"3488821537"</f>
        <v>3488821537</v>
      </c>
    </row>
    <row r="1062" spans="1:8" x14ac:dyDescent="0.25">
      <c r="E1062" t="str">
        <f>""</f>
        <v/>
      </c>
      <c r="F1062" t="str">
        <f>""</f>
        <v/>
      </c>
      <c r="G1062" s="3">
        <v>219.24</v>
      </c>
      <c r="H1062" t="str">
        <f>"3488821527"</f>
        <v>3488821527</v>
      </c>
    </row>
    <row r="1063" spans="1:8" x14ac:dyDescent="0.25">
      <c r="E1063" t="str">
        <f>""</f>
        <v/>
      </c>
      <c r="F1063" t="str">
        <f>""</f>
        <v/>
      </c>
      <c r="G1063" s="3">
        <v>289.06</v>
      </c>
      <c r="H1063" t="str">
        <f>"3488821528"</f>
        <v>3488821528</v>
      </c>
    </row>
    <row r="1064" spans="1:8" x14ac:dyDescent="0.25">
      <c r="E1064" t="str">
        <f>""</f>
        <v/>
      </c>
      <c r="F1064" t="str">
        <f>""</f>
        <v/>
      </c>
      <c r="G1064" s="3">
        <v>61.2</v>
      </c>
      <c r="H1064" t="str">
        <f>"3488821542"</f>
        <v>3488821542</v>
      </c>
    </row>
    <row r="1065" spans="1:8" x14ac:dyDescent="0.25">
      <c r="E1065" t="str">
        <f>""</f>
        <v/>
      </c>
      <c r="F1065" t="str">
        <f>""</f>
        <v/>
      </c>
      <c r="G1065" s="3">
        <v>260.68</v>
      </c>
      <c r="H1065" t="str">
        <f>"3488821545"</f>
        <v>3488821545</v>
      </c>
    </row>
    <row r="1066" spans="1:8" x14ac:dyDescent="0.25">
      <c r="E1066" t="str">
        <f>""</f>
        <v/>
      </c>
      <c r="F1066" t="str">
        <f>""</f>
        <v/>
      </c>
      <c r="G1066" s="3">
        <v>90.43</v>
      </c>
      <c r="H1066" t="str">
        <f>"3488821544"</f>
        <v>3488821544</v>
      </c>
    </row>
    <row r="1067" spans="1:8" x14ac:dyDescent="0.25">
      <c r="E1067" t="str">
        <f>""</f>
        <v/>
      </c>
      <c r="F1067" t="str">
        <f>""</f>
        <v/>
      </c>
      <c r="G1067" s="3">
        <v>61.2</v>
      </c>
      <c r="H1067" t="str">
        <f>"3488821543"</f>
        <v>3488821543</v>
      </c>
    </row>
    <row r="1068" spans="1:8" x14ac:dyDescent="0.25">
      <c r="E1068" t="str">
        <f>""</f>
        <v/>
      </c>
      <c r="F1068" t="str">
        <f>""</f>
        <v/>
      </c>
      <c r="G1068" s="3">
        <v>31.83</v>
      </c>
      <c r="H1068" t="str">
        <f>"3488821529"</f>
        <v>3488821529</v>
      </c>
    </row>
    <row r="1069" spans="1:8" x14ac:dyDescent="0.25">
      <c r="E1069" t="str">
        <f>""</f>
        <v/>
      </c>
      <c r="F1069" t="str">
        <f>""</f>
        <v/>
      </c>
      <c r="G1069" s="3">
        <v>60.74</v>
      </c>
      <c r="H1069" t="str">
        <f>"3488821530"</f>
        <v>3488821530</v>
      </c>
    </row>
    <row r="1070" spans="1:8" x14ac:dyDescent="0.25">
      <c r="A1070" t="s">
        <v>360</v>
      </c>
      <c r="B1070">
        <v>137304</v>
      </c>
      <c r="C1070" s="3">
        <v>105</v>
      </c>
      <c r="D1070" s="4">
        <v>44481</v>
      </c>
      <c r="E1070" t="str">
        <f>"42444"</f>
        <v>42444</v>
      </c>
      <c r="F1070" t="str">
        <f>"MEMBERSHIP/DUGGAN"</f>
        <v>MEMBERSHIP/DUGGAN</v>
      </c>
      <c r="G1070" s="3">
        <v>105</v>
      </c>
      <c r="H1070" t="str">
        <f>"MEMBERSHIP/DUGGAN"</f>
        <v>MEMBERSHIP/DUGGAN</v>
      </c>
    </row>
    <row r="1071" spans="1:8" x14ac:dyDescent="0.25">
      <c r="A1071" t="s">
        <v>361</v>
      </c>
      <c r="B1071">
        <v>137429</v>
      </c>
      <c r="C1071" s="3">
        <v>85</v>
      </c>
      <c r="D1071" s="4">
        <v>44484</v>
      </c>
      <c r="E1071" t="str">
        <f>"202110156551"</f>
        <v>202110156551</v>
      </c>
      <c r="F1071" t="str">
        <f>"2021 TX HOME VISITING PROGRAM"</f>
        <v>2021 TX HOME VISITING PROGRAM</v>
      </c>
      <c r="G1071" s="3">
        <v>85</v>
      </c>
      <c r="H1071" t="str">
        <f>"2021 TX HOME VISITING PROGRAM"</f>
        <v>2021 TX HOME VISITING PROGRAM</v>
      </c>
    </row>
    <row r="1072" spans="1:8" x14ac:dyDescent="0.25">
      <c r="A1072" t="s">
        <v>362</v>
      </c>
      <c r="B1072">
        <v>137544</v>
      </c>
      <c r="C1072" s="3">
        <v>622.5</v>
      </c>
      <c r="D1072" s="4">
        <v>44494</v>
      </c>
      <c r="E1072" t="str">
        <f>"202110156567"</f>
        <v>202110156567</v>
      </c>
      <c r="F1072" t="str">
        <f>"SEPTEMBER 2021"</f>
        <v>SEPTEMBER 2021</v>
      </c>
      <c r="G1072" s="3">
        <v>622.5</v>
      </c>
      <c r="H1072" t="str">
        <f>"SEPTEMBER 2021"</f>
        <v>SEPTEMBER 2021</v>
      </c>
    </row>
    <row r="1073" spans="1:8" x14ac:dyDescent="0.25">
      <c r="A1073" t="s">
        <v>363</v>
      </c>
      <c r="B1073">
        <v>137305</v>
      </c>
      <c r="C1073" s="3">
        <v>950</v>
      </c>
      <c r="D1073" s="4">
        <v>44481</v>
      </c>
      <c r="E1073" t="str">
        <f>"202110056066"</f>
        <v>202110056066</v>
      </c>
      <c r="F1073" t="str">
        <f>"CASE#17-433"</f>
        <v>CASE#17-433</v>
      </c>
      <c r="G1073" s="3">
        <v>950</v>
      </c>
      <c r="H1073" t="str">
        <f>"CASE#17-433"</f>
        <v>CASE#17-433</v>
      </c>
    </row>
    <row r="1074" spans="1:8" x14ac:dyDescent="0.25">
      <c r="A1074" t="s">
        <v>364</v>
      </c>
      <c r="B1074">
        <v>137306</v>
      </c>
      <c r="C1074" s="3">
        <v>874.93</v>
      </c>
      <c r="D1074" s="4">
        <v>44481</v>
      </c>
      <c r="E1074" t="str">
        <f>"4010421194"</f>
        <v>4010421194</v>
      </c>
      <c r="F1074" t="str">
        <f>"INV 4010421194"</f>
        <v>INV 4010421194</v>
      </c>
      <c r="G1074" s="3">
        <v>874.93</v>
      </c>
      <c r="H1074" t="str">
        <f>"INV 4010421194"</f>
        <v>INV 4010421194</v>
      </c>
    </row>
    <row r="1075" spans="1:8" x14ac:dyDescent="0.25">
      <c r="A1075" t="s">
        <v>365</v>
      </c>
      <c r="B1075">
        <v>5185</v>
      </c>
      <c r="C1075" s="3">
        <v>494</v>
      </c>
      <c r="D1075" s="4">
        <v>44482</v>
      </c>
      <c r="E1075" t="str">
        <f>"202110066101"</f>
        <v>202110066101</v>
      </c>
      <c r="F1075" t="str">
        <f>"TRASH REMOVAL/STEVE GRANADO"</f>
        <v>TRASH REMOVAL/STEVE GRANADO</v>
      </c>
      <c r="G1075" s="3">
        <v>260</v>
      </c>
      <c r="H1075" t="str">
        <f>"TRASH REMOVAL/STEVE GRANADO"</f>
        <v>TRASH REMOVAL/STEVE GRANADO</v>
      </c>
    </row>
    <row r="1076" spans="1:8" x14ac:dyDescent="0.25">
      <c r="E1076" t="str">
        <f>"202110066102"</f>
        <v>202110066102</v>
      </c>
      <c r="F1076" t="str">
        <f>"TRASH REMOVAL/STEVE GRANADO"</f>
        <v>TRASH REMOVAL/STEVE GRANADO</v>
      </c>
      <c r="G1076" s="3">
        <v>234</v>
      </c>
      <c r="H1076" t="str">
        <f>"TRASH REMOVAL/STEVE GRANADO"</f>
        <v>TRASH REMOVAL/STEVE GRANADO</v>
      </c>
    </row>
    <row r="1077" spans="1:8" x14ac:dyDescent="0.25">
      <c r="A1077" t="s">
        <v>365</v>
      </c>
      <c r="B1077">
        <v>5265</v>
      </c>
      <c r="C1077" s="3">
        <v>390</v>
      </c>
      <c r="D1077" s="4">
        <v>44495</v>
      </c>
      <c r="E1077" t="str">
        <f>"202110196610"</f>
        <v>202110196610</v>
      </c>
      <c r="F1077" t="str">
        <f>"TRASH REMOVAL 101121-102221/P4"</f>
        <v>TRASH REMOVAL 101121-102221/P4</v>
      </c>
      <c r="G1077" s="3">
        <v>390</v>
      </c>
      <c r="H1077" t="str">
        <f>"TRASH REMOVAL 101121-102221/P4"</f>
        <v>TRASH REMOVAL 101121-102221/P4</v>
      </c>
    </row>
    <row r="1078" spans="1:8" x14ac:dyDescent="0.25">
      <c r="A1078" t="s">
        <v>366</v>
      </c>
      <c r="B1078">
        <v>5207</v>
      </c>
      <c r="C1078" s="3">
        <v>4242.5200000000004</v>
      </c>
      <c r="D1078" s="4">
        <v>44482</v>
      </c>
      <c r="E1078" t="str">
        <f>"96212244"</f>
        <v>96212244</v>
      </c>
      <c r="F1078" t="str">
        <f>"ACCT#10187718/PCT#2"</f>
        <v>ACCT#10187718/PCT#2</v>
      </c>
      <c r="G1078" s="3">
        <v>4242.5200000000004</v>
      </c>
      <c r="H1078" t="str">
        <f>"ACCT#10187718/PCT#2"</f>
        <v>ACCT#10187718/PCT#2</v>
      </c>
    </row>
    <row r="1079" spans="1:8" x14ac:dyDescent="0.25">
      <c r="A1079" t="s">
        <v>366</v>
      </c>
      <c r="B1079">
        <v>5286</v>
      </c>
      <c r="C1079" s="3">
        <v>3729.74</v>
      </c>
      <c r="D1079" s="4">
        <v>44495</v>
      </c>
      <c r="E1079" t="str">
        <f>"96237772"</f>
        <v>96237772</v>
      </c>
      <c r="F1079" t="str">
        <f>"ACCT#10187718/PCT#2"</f>
        <v>ACCT#10187718/PCT#2</v>
      </c>
      <c r="G1079" s="3">
        <v>3729.74</v>
      </c>
      <c r="H1079" t="str">
        <f>"ACCT#10187718/PCT#2"</f>
        <v>ACCT#10187718/PCT#2</v>
      </c>
    </row>
    <row r="1080" spans="1:8" x14ac:dyDescent="0.25">
      <c r="A1080" t="s">
        <v>367</v>
      </c>
      <c r="B1080">
        <v>5209</v>
      </c>
      <c r="C1080" s="3">
        <v>540</v>
      </c>
      <c r="D1080" s="4">
        <v>44482</v>
      </c>
      <c r="E1080" t="str">
        <f>"8073"</f>
        <v>8073</v>
      </c>
      <c r="F1080" t="str">
        <f>"ZEP BIG ORANGE/PCT#4"</f>
        <v>ZEP BIG ORANGE/PCT#4</v>
      </c>
      <c r="G1080" s="3">
        <v>540</v>
      </c>
      <c r="H1080" t="str">
        <f>"ZEP BIG ORANGE/PCT#4"</f>
        <v>ZEP BIG ORANGE/PCT#4</v>
      </c>
    </row>
    <row r="1081" spans="1:8" x14ac:dyDescent="0.25">
      <c r="A1081" t="s">
        <v>368</v>
      </c>
      <c r="B1081">
        <v>137307</v>
      </c>
      <c r="C1081" s="3">
        <v>395</v>
      </c>
      <c r="D1081" s="4">
        <v>44481</v>
      </c>
      <c r="E1081" t="str">
        <f>"300018883"</f>
        <v>300018883</v>
      </c>
      <c r="F1081" t="str">
        <f>"ICTA/TAAO MEMBERSHIP-J. SCHANA"</f>
        <v>ICTA/TAAO MEMBERSHIP-J. SCHANA</v>
      </c>
      <c r="G1081" s="3">
        <v>125</v>
      </c>
      <c r="H1081" t="str">
        <f>"ICTA/TAAO MEMBERSHIP-J. SCHANA"</f>
        <v>ICTA/TAAO MEMBERSHIP-J. SCHANA</v>
      </c>
    </row>
    <row r="1082" spans="1:8" x14ac:dyDescent="0.25">
      <c r="E1082" t="str">
        <f>"300020242"</f>
        <v>300020242</v>
      </c>
      <c r="F1082" t="str">
        <f>"MEMBERSHIP - ELLEN OWENS"</f>
        <v>MEMBERSHIP - ELLEN OWENS</v>
      </c>
      <c r="G1082" s="3">
        <v>90</v>
      </c>
      <c r="H1082" t="str">
        <f>"MEMBERSHIP - ELLEN OWENS"</f>
        <v>MEMBERSHIP - ELLEN OWENS</v>
      </c>
    </row>
    <row r="1083" spans="1:8" x14ac:dyDescent="0.25">
      <c r="E1083" t="str">
        <f>"300021150"</f>
        <v>300021150</v>
      </c>
      <c r="F1083" t="str">
        <f>"MEMBERSHIP - ESMERALDA OSORIO"</f>
        <v>MEMBERSHIP - ESMERALDA OSORIO</v>
      </c>
      <c r="G1083" s="3">
        <v>90</v>
      </c>
      <c r="H1083" t="str">
        <f>"MEMBERSHIP - ESMERALDA OSORIO"</f>
        <v>MEMBERSHIP - ESMERALDA OSORIO</v>
      </c>
    </row>
    <row r="1084" spans="1:8" x14ac:dyDescent="0.25">
      <c r="E1084" t="str">
        <f>"300021151"</f>
        <v>300021151</v>
      </c>
      <c r="F1084" t="str">
        <f>"MEMBERSHIP - PATSY MIRELES"</f>
        <v>MEMBERSHIP - PATSY MIRELES</v>
      </c>
      <c r="G1084" s="3">
        <v>90</v>
      </c>
      <c r="H1084" t="str">
        <f>"MEMBERSHIP - PATSY MIRELES"</f>
        <v>MEMBERSHIP - PATSY MIRELES</v>
      </c>
    </row>
    <row r="1085" spans="1:8" x14ac:dyDescent="0.25">
      <c r="A1085" t="s">
        <v>369</v>
      </c>
      <c r="B1085">
        <v>137308</v>
      </c>
      <c r="C1085" s="3">
        <v>750</v>
      </c>
      <c r="D1085" s="4">
        <v>44481</v>
      </c>
      <c r="E1085" t="str">
        <f>"300001781"</f>
        <v>300001781</v>
      </c>
      <c r="F1085" t="str">
        <f>"MEMBERSHIP DUES-ADENA LEWIS"</f>
        <v>MEMBERSHIP DUES-ADENA LEWIS</v>
      </c>
      <c r="G1085" s="3">
        <v>750</v>
      </c>
      <c r="H1085" t="str">
        <f>"MEMBERSHIP DUES-ADENA LEWIS"</f>
        <v>MEMBERSHIP DUES-ADENA LEWIS</v>
      </c>
    </row>
    <row r="1086" spans="1:8" x14ac:dyDescent="0.25">
      <c r="A1086" t="s">
        <v>370</v>
      </c>
      <c r="B1086">
        <v>137545</v>
      </c>
      <c r="C1086" s="3">
        <v>2386</v>
      </c>
      <c r="D1086" s="4">
        <v>44494</v>
      </c>
      <c r="E1086" t="str">
        <f>"IN2145193"</f>
        <v>IN2145193</v>
      </c>
      <c r="F1086" t="str">
        <f>"HRA RO FEE 10/01-10/31"</f>
        <v>HRA RO FEE 10/01-10/31</v>
      </c>
      <c r="G1086" s="3">
        <v>1735.2</v>
      </c>
      <c r="H1086" t="str">
        <f>"HRA RO FEE 10/01-10/31"</f>
        <v>HRA RO FEE 10/01-10/31</v>
      </c>
    </row>
    <row r="1087" spans="1:8" x14ac:dyDescent="0.25">
      <c r="E1087" t="str">
        <f>"IN2145194"</f>
        <v>IN2145194</v>
      </c>
      <c r="F1087" t="str">
        <f>"FSA RO FEE 10/1-10/31"</f>
        <v>FSA RO FEE 10/1-10/31</v>
      </c>
      <c r="G1087" s="3">
        <v>550.79999999999995</v>
      </c>
      <c r="H1087" t="str">
        <f>"FSA RO FEE 10/1-10/31"</f>
        <v>FSA RO FEE 10/1-10/31</v>
      </c>
    </row>
    <row r="1088" spans="1:8" x14ac:dyDescent="0.25">
      <c r="E1088" t="str">
        <f>"IN2160770"</f>
        <v>IN2160770</v>
      </c>
      <c r="F1088" t="str">
        <f>"NDT ADMIN FEE 08/01-09/30"</f>
        <v>NDT ADMIN FEE 08/01-09/30</v>
      </c>
      <c r="G1088" s="3">
        <v>100</v>
      </c>
      <c r="H1088" t="str">
        <f>"NDT ADMIN FEE 08/01-09/30"</f>
        <v>NDT ADMIN FEE 08/01-09/30</v>
      </c>
    </row>
    <row r="1089" spans="1:8" x14ac:dyDescent="0.25">
      <c r="A1089" t="s">
        <v>371</v>
      </c>
      <c r="B1089">
        <v>5195</v>
      </c>
      <c r="C1089" s="3">
        <v>84.37</v>
      </c>
      <c r="D1089" s="4">
        <v>44482</v>
      </c>
      <c r="E1089" t="str">
        <f>"21100401"</f>
        <v>21100401</v>
      </c>
      <c r="F1089" t="str">
        <f>"SVC CONTRACT 09/01-10/01"</f>
        <v>SVC CONTRACT 09/01-10/01</v>
      </c>
      <c r="G1089" s="3">
        <v>84.37</v>
      </c>
      <c r="H1089" t="str">
        <f>"SVC CONTRACT 09/01-10/01"</f>
        <v>SVC CONTRACT 09/01-10/01</v>
      </c>
    </row>
    <row r="1090" spans="1:8" x14ac:dyDescent="0.25">
      <c r="A1090" t="s">
        <v>372</v>
      </c>
      <c r="B1090">
        <v>137546</v>
      </c>
      <c r="C1090" s="3">
        <v>250</v>
      </c>
      <c r="D1090" s="4">
        <v>44494</v>
      </c>
      <c r="E1090" t="str">
        <f>"202110156542"</f>
        <v>202110156542</v>
      </c>
      <c r="F1090" t="str">
        <f>"REACTIVATION FEE-SETH WARNER"</f>
        <v>REACTIVATION FEE-SETH WARNER</v>
      </c>
      <c r="G1090" s="3">
        <v>250</v>
      </c>
      <c r="H1090" t="str">
        <f>"REACTIVATION FEE-SETH WARNER"</f>
        <v>REACTIVATION FEE-SETH WARNER</v>
      </c>
    </row>
    <row r="1091" spans="1:8" x14ac:dyDescent="0.25">
      <c r="A1091" t="s">
        <v>373</v>
      </c>
      <c r="B1091">
        <v>137309</v>
      </c>
      <c r="C1091" s="3">
        <v>1715</v>
      </c>
      <c r="D1091" s="4">
        <v>44481</v>
      </c>
      <c r="E1091" t="str">
        <f>"202109305926"</f>
        <v>202109305926</v>
      </c>
      <c r="F1091" t="str">
        <f>"SUPPLIES/DA OFFICE"</f>
        <v>SUPPLIES/DA OFFICE</v>
      </c>
      <c r="G1091" s="3">
        <v>1715</v>
      </c>
      <c r="H1091" t="str">
        <f>"SUPPLIES/DA OFFICE"</f>
        <v>SUPPLIES/DA OFFICE</v>
      </c>
    </row>
    <row r="1092" spans="1:8" x14ac:dyDescent="0.25">
      <c r="A1092" t="s">
        <v>374</v>
      </c>
      <c r="B1092">
        <v>137547</v>
      </c>
      <c r="C1092" s="3">
        <v>825</v>
      </c>
      <c r="D1092" s="4">
        <v>44494</v>
      </c>
      <c r="E1092" t="str">
        <f>"JH7280367"</f>
        <v>JH7280367</v>
      </c>
      <c r="F1092" t="str">
        <f>"INV JH7280367"</f>
        <v>INV JH7280367</v>
      </c>
      <c r="G1092" s="3">
        <v>825</v>
      </c>
      <c r="H1092" t="str">
        <f>"INV JH7280367"</f>
        <v>INV JH7280367</v>
      </c>
    </row>
    <row r="1093" spans="1:8" x14ac:dyDescent="0.25">
      <c r="A1093" t="s">
        <v>375</v>
      </c>
      <c r="B1093">
        <v>5317</v>
      </c>
      <c r="C1093" s="3">
        <v>221</v>
      </c>
      <c r="D1093" s="4">
        <v>44495</v>
      </c>
      <c r="E1093" t="str">
        <f>"2111064"</f>
        <v>2111064</v>
      </c>
      <c r="F1093" t="str">
        <f>"MONTHLY CONTRACT BILLING"</f>
        <v>MONTHLY CONTRACT BILLING</v>
      </c>
      <c r="G1093" s="3">
        <v>221</v>
      </c>
      <c r="H1093" t="str">
        <f>"MONTHLY CONTRACT BILLING"</f>
        <v>MONTHLY CONTRACT BILLING</v>
      </c>
    </row>
    <row r="1094" spans="1:8" x14ac:dyDescent="0.25">
      <c r="A1094" t="s">
        <v>376</v>
      </c>
      <c r="B1094">
        <v>5307</v>
      </c>
      <c r="C1094" s="3">
        <v>61.6</v>
      </c>
      <c r="D1094" s="4">
        <v>44495</v>
      </c>
      <c r="E1094" t="str">
        <f>"202110146482"</f>
        <v>202110146482</v>
      </c>
      <c r="F1094" t="str">
        <f>"VISITING JUDGE"</f>
        <v>VISITING JUDGE</v>
      </c>
      <c r="G1094" s="3">
        <v>61.6</v>
      </c>
      <c r="H1094" t="str">
        <f>"VISITING JUDGE"</f>
        <v>VISITING JUDGE</v>
      </c>
    </row>
    <row r="1095" spans="1:8" x14ac:dyDescent="0.25">
      <c r="A1095" t="s">
        <v>377</v>
      </c>
      <c r="B1095">
        <v>137310</v>
      </c>
      <c r="C1095" s="3">
        <v>620.83000000000004</v>
      </c>
      <c r="D1095" s="4">
        <v>44481</v>
      </c>
      <c r="E1095" t="str">
        <f>"456959"</f>
        <v>456959</v>
      </c>
      <c r="F1095" t="str">
        <f>"AIR RELIEF TECHNOLOGIES  INC"</f>
        <v>AIR RELIEF TECHNOLOGIES  INC</v>
      </c>
      <c r="G1095" s="3">
        <v>620.83000000000004</v>
      </c>
      <c r="H1095" t="str">
        <f>"INV 456959"</f>
        <v>INV 456959</v>
      </c>
    </row>
    <row r="1096" spans="1:8" x14ac:dyDescent="0.25">
      <c r="A1096" t="s">
        <v>378</v>
      </c>
      <c r="B1096">
        <v>5232</v>
      </c>
      <c r="C1096" s="3">
        <v>219.96</v>
      </c>
      <c r="D1096" s="4">
        <v>44482</v>
      </c>
      <c r="E1096" t="str">
        <f>"202110066093"</f>
        <v>202110066093</v>
      </c>
      <c r="F1096" t="str">
        <f>"ACCT#63275/PCT#3"</f>
        <v>ACCT#63275/PCT#3</v>
      </c>
      <c r="G1096" s="3">
        <v>219.96</v>
      </c>
      <c r="H1096" t="str">
        <f>"ACCT#63275/PCT#3"</f>
        <v>ACCT#63275/PCT#3</v>
      </c>
    </row>
    <row r="1097" spans="1:8" x14ac:dyDescent="0.25">
      <c r="A1097" t="s">
        <v>379</v>
      </c>
      <c r="B1097">
        <v>137311</v>
      </c>
      <c r="C1097" s="3">
        <v>6371.66</v>
      </c>
      <c r="D1097" s="4">
        <v>44481</v>
      </c>
      <c r="E1097" t="str">
        <f>"1132936-IN"</f>
        <v>1132936-IN</v>
      </c>
      <c r="F1097" t="str">
        <f>"ACCT#01-0112917/PCT#2"</f>
        <v>ACCT#01-0112917/PCT#2</v>
      </c>
      <c r="G1097" s="3">
        <v>1039.0899999999999</v>
      </c>
      <c r="H1097" t="str">
        <f>"ACCT#01-0112917/PCT#2"</f>
        <v>ACCT#01-0112917/PCT#2</v>
      </c>
    </row>
    <row r="1098" spans="1:8" x14ac:dyDescent="0.25">
      <c r="E1098" t="str">
        <f>"1134413-IN"</f>
        <v>1134413-IN</v>
      </c>
      <c r="F1098" t="str">
        <f>"ACCT#01-0012917/PCT#1"</f>
        <v>ACCT#01-0012917/PCT#1</v>
      </c>
      <c r="G1098" s="3">
        <v>446.48</v>
      </c>
      <c r="H1098" t="str">
        <f>"ACCT#01-0012917/PCT#1"</f>
        <v>ACCT#01-0012917/PCT#1</v>
      </c>
    </row>
    <row r="1099" spans="1:8" x14ac:dyDescent="0.25">
      <c r="E1099" t="str">
        <f>"1135443-IN"</f>
        <v>1135443-IN</v>
      </c>
      <c r="F1099" t="str">
        <f>"ACCT#01-0112917/PCT#3"</f>
        <v>ACCT#01-0112917/PCT#3</v>
      </c>
      <c r="G1099" s="3">
        <v>4886.09</v>
      </c>
      <c r="H1099" t="str">
        <f>"ACCT#01-0112917/PCT#3"</f>
        <v>ACCT#01-0112917/PCT#3</v>
      </c>
    </row>
    <row r="1100" spans="1:8" x14ac:dyDescent="0.25">
      <c r="A1100" t="s">
        <v>379</v>
      </c>
      <c r="B1100">
        <v>137548</v>
      </c>
      <c r="C1100" s="3">
        <v>22073.51</v>
      </c>
      <c r="D1100" s="4">
        <v>44494</v>
      </c>
      <c r="E1100" t="str">
        <f>"1131539-IN"</f>
        <v>1131539-IN</v>
      </c>
      <c r="F1100" t="str">
        <f>"ACCT#01-0112917/PCT#3"</f>
        <v>ACCT#01-0112917/PCT#3</v>
      </c>
      <c r="G1100" s="3">
        <v>4226.68</v>
      </c>
      <c r="H1100" t="str">
        <f>"ACCT#01-0112917/PCT#3"</f>
        <v>ACCT#01-0112917/PCT#3</v>
      </c>
    </row>
    <row r="1101" spans="1:8" x14ac:dyDescent="0.25">
      <c r="E1101" t="str">
        <f>"1137973-IN"</f>
        <v>1137973-IN</v>
      </c>
      <c r="F1101" t="str">
        <f>"ACCT#01-0112917/PCT#3"</f>
        <v>ACCT#01-0112917/PCT#3</v>
      </c>
      <c r="G1101" s="3">
        <v>5044.6099999999997</v>
      </c>
      <c r="H1101" t="str">
        <f>"ACCT#01-0112917/PCT#3"</f>
        <v>ACCT#01-0112917/PCT#3</v>
      </c>
    </row>
    <row r="1102" spans="1:8" x14ac:dyDescent="0.25">
      <c r="E1102" t="str">
        <f>"1137978-IN"</f>
        <v>1137978-IN</v>
      </c>
      <c r="F1102" t="str">
        <f>"ACCT#01-0112917/PCT#4"</f>
        <v>ACCT#01-0112917/PCT#4</v>
      </c>
      <c r="G1102" s="3">
        <v>6681.19</v>
      </c>
      <c r="H1102" t="str">
        <f>"ACCT#01-0112917/PCT#4"</f>
        <v>ACCT#01-0112917/PCT#4</v>
      </c>
    </row>
    <row r="1103" spans="1:8" x14ac:dyDescent="0.25">
      <c r="E1103" t="str">
        <f>"1141053-IN"</f>
        <v>1141053-IN</v>
      </c>
      <c r="F1103" t="str">
        <f>"ACCT#01-0112917/PCT#1"</f>
        <v>ACCT#01-0112917/PCT#1</v>
      </c>
      <c r="G1103" s="3">
        <v>5555.9</v>
      </c>
      <c r="H1103" t="str">
        <f>"ACCT#01-0112917/PCT#1"</f>
        <v>ACCT#01-0112917/PCT#1</v>
      </c>
    </row>
    <row r="1104" spans="1:8" x14ac:dyDescent="0.25">
      <c r="E1104" t="str">
        <f>"1142250-IN"</f>
        <v>1142250-IN</v>
      </c>
      <c r="F1104" t="str">
        <f>"INV 1142250-IN"</f>
        <v>INV 1142250-IN</v>
      </c>
      <c r="G1104" s="3">
        <v>565.13</v>
      </c>
      <c r="H1104" t="str">
        <f>"INV 1142250-IN"</f>
        <v>INV 1142250-IN</v>
      </c>
    </row>
    <row r="1105" spans="1:8" x14ac:dyDescent="0.25">
      <c r="A1105" t="s">
        <v>380</v>
      </c>
      <c r="B1105">
        <v>5322</v>
      </c>
      <c r="C1105" s="3">
        <v>557.1</v>
      </c>
      <c r="D1105" s="4">
        <v>44495</v>
      </c>
      <c r="E1105" t="str">
        <f>"13022"</f>
        <v>13022</v>
      </c>
      <c r="F1105" t="str">
        <f>"BULLROCK/PCT#1"</f>
        <v>BULLROCK/PCT#1</v>
      </c>
      <c r="G1105" s="3">
        <v>557.1</v>
      </c>
      <c r="H1105" t="str">
        <f>"BULLROCK/PCT#1"</f>
        <v>BULLROCK/PCT#1</v>
      </c>
    </row>
    <row r="1106" spans="1:8" x14ac:dyDescent="0.25">
      <c r="A1106" t="s">
        <v>381</v>
      </c>
      <c r="B1106">
        <v>137312</v>
      </c>
      <c r="C1106" s="3">
        <v>50</v>
      </c>
      <c r="D1106" s="4">
        <v>44481</v>
      </c>
      <c r="E1106" t="str">
        <f>"7415"</f>
        <v>7415</v>
      </c>
      <c r="F1106" t="str">
        <f>"INV 7415"</f>
        <v>INV 7415</v>
      </c>
      <c r="G1106" s="3">
        <v>50</v>
      </c>
      <c r="H1106" t="str">
        <f>"INV 7415"</f>
        <v>INV 7415</v>
      </c>
    </row>
    <row r="1107" spans="1:8" x14ac:dyDescent="0.25">
      <c r="A1107" t="s">
        <v>382</v>
      </c>
      <c r="B1107">
        <v>137549</v>
      </c>
      <c r="C1107" s="3">
        <v>725</v>
      </c>
      <c r="D1107" s="4">
        <v>44494</v>
      </c>
      <c r="E1107" t="str">
        <f>"318239"</f>
        <v>318239</v>
      </c>
      <c r="F1107" t="str">
        <f>"MEMBER REGISTRATION-ELLEN OWEN"</f>
        <v>MEMBER REGISTRATION-ELLEN OWEN</v>
      </c>
      <c r="G1107" s="3">
        <v>225</v>
      </c>
      <c r="H1107" t="str">
        <f>"MEMBER REGISTRATION-ELLEN OWEN"</f>
        <v>MEMBER REGISTRATION-ELLEN OWEN</v>
      </c>
    </row>
    <row r="1108" spans="1:8" x14ac:dyDescent="0.25">
      <c r="E1108" t="str">
        <f>"318241"</f>
        <v>318241</v>
      </c>
      <c r="F1108" t="str">
        <f>"MEMBER REG-JOYCE SCHANALS"</f>
        <v>MEMBER REG-JOYCE SCHANALS</v>
      </c>
      <c r="G1108" s="3">
        <v>225</v>
      </c>
      <c r="H1108" t="str">
        <f>"MEMBER REG-JOYCE SCHANALS"</f>
        <v>MEMBER REG-JOYCE SCHANALS</v>
      </c>
    </row>
    <row r="1109" spans="1:8" x14ac:dyDescent="0.25">
      <c r="E1109" t="str">
        <f>"R317230"</f>
        <v>R317230</v>
      </c>
      <c r="F1109" t="str">
        <f>"CONFERENCE-LISA SMITH"</f>
        <v>CONFERENCE-LISA SMITH</v>
      </c>
      <c r="G1109" s="3">
        <v>275</v>
      </c>
      <c r="H1109" t="str">
        <f>"CONFERENCE-LISA SMITH"</f>
        <v>CONFERENCE-LISA SMITH</v>
      </c>
    </row>
    <row r="1110" spans="1:8" x14ac:dyDescent="0.25">
      <c r="A1110" t="s">
        <v>383</v>
      </c>
      <c r="B1110">
        <v>137550</v>
      </c>
      <c r="C1110" s="3">
        <v>4150</v>
      </c>
      <c r="D1110" s="4">
        <v>44494</v>
      </c>
      <c r="E1110" t="str">
        <f>"WTR0057907/08/09"</f>
        <v>WTR0057907/08/09</v>
      </c>
      <c r="F1110" t="str">
        <f>"ACCT#0620010/ONSITE COUNCIL FE"</f>
        <v>ACCT#0620010/ONSITE COUNCIL FE</v>
      </c>
      <c r="G1110" s="3">
        <v>4150</v>
      </c>
      <c r="H1110" t="str">
        <f>"ACCT#0620010/ONSITE COUNCIL FE"</f>
        <v>ACCT#0620010/ONSITE COUNCIL FE</v>
      </c>
    </row>
    <row r="1111" spans="1:8" x14ac:dyDescent="0.25">
      <c r="A1111" t="s">
        <v>384</v>
      </c>
      <c r="B1111">
        <v>137551</v>
      </c>
      <c r="C1111" s="3">
        <v>135</v>
      </c>
      <c r="D1111" s="4">
        <v>44494</v>
      </c>
      <c r="E1111" t="str">
        <f>"UI 487594"</f>
        <v>UI 487594</v>
      </c>
      <c r="F1111" t="str">
        <f>"Recepits"</f>
        <v>Recepits</v>
      </c>
      <c r="G1111" s="3">
        <v>135</v>
      </c>
      <c r="H1111" t="str">
        <f>"Fee Receipts"</f>
        <v>Fee Receipts</v>
      </c>
    </row>
    <row r="1112" spans="1:8" x14ac:dyDescent="0.25">
      <c r="A1112" t="s">
        <v>385</v>
      </c>
      <c r="B1112">
        <v>137313</v>
      </c>
      <c r="C1112" s="3">
        <v>1285.54</v>
      </c>
      <c r="D1112" s="4">
        <v>44481</v>
      </c>
      <c r="E1112" t="str">
        <f>"278717"</f>
        <v>278717</v>
      </c>
      <c r="F1112" t="str">
        <f>"CUST#1574/PCT#4"</f>
        <v>CUST#1574/PCT#4</v>
      </c>
      <c r="G1112" s="3">
        <v>1285.54</v>
      </c>
      <c r="H1112" t="str">
        <f>"CUST#1574/PCT#4"</f>
        <v>CUST#1574/PCT#4</v>
      </c>
    </row>
    <row r="1113" spans="1:8" x14ac:dyDescent="0.25">
      <c r="A1113" t="s">
        <v>386</v>
      </c>
      <c r="B1113">
        <v>137314</v>
      </c>
      <c r="C1113" s="3">
        <v>299</v>
      </c>
      <c r="D1113" s="4">
        <v>44481</v>
      </c>
      <c r="E1113" t="s">
        <v>387</v>
      </c>
      <c r="F1113" s="3" t="str">
        <f>"RESTITUTION - JACOB SHINE"</f>
        <v>RESTITUTION - JACOB SHINE</v>
      </c>
      <c r="G1113" s="3">
        <v>119</v>
      </c>
      <c r="H1113" s="3" t="str">
        <f>"RESTITUTION - JACOB SHINE"</f>
        <v>RESTITUTION - JACOB SHINE</v>
      </c>
    </row>
    <row r="1114" spans="1:8" x14ac:dyDescent="0.25">
      <c r="E1114" t="s">
        <v>388</v>
      </c>
      <c r="F1114" s="3" t="str">
        <f>"RESTITUTION - ELAINE HAYS"</f>
        <v>RESTITUTION - ELAINE HAYS</v>
      </c>
      <c r="G1114" s="3">
        <v>180</v>
      </c>
      <c r="H1114" s="3" t="str">
        <f>"RESTITUTION - ELAINE HAYS"</f>
        <v>RESTITUTION - ELAINE HAYS</v>
      </c>
    </row>
    <row r="1115" spans="1:8" x14ac:dyDescent="0.25">
      <c r="A1115" t="s">
        <v>389</v>
      </c>
      <c r="B1115">
        <v>137315</v>
      </c>
      <c r="C1115" s="3">
        <v>155</v>
      </c>
      <c r="D1115" s="4">
        <v>44481</v>
      </c>
      <c r="E1115" t="str">
        <f>"6200422"</f>
        <v>6200422</v>
      </c>
      <c r="F1115" t="str">
        <f>"WASTE SVCS/GENERAL SVCS"</f>
        <v>WASTE SVCS/GENERAL SVCS</v>
      </c>
      <c r="G1115" s="3">
        <v>155</v>
      </c>
      <c r="H1115" t="str">
        <f>"WASTE SVCS/GENERAL SVCS"</f>
        <v>WASTE SVCS/GENERAL SVCS</v>
      </c>
    </row>
    <row r="1116" spans="1:8" x14ac:dyDescent="0.25">
      <c r="A1116" t="s">
        <v>390</v>
      </c>
      <c r="B1116">
        <v>137316</v>
      </c>
      <c r="C1116" s="3">
        <v>2428</v>
      </c>
      <c r="D1116" s="4">
        <v>44481</v>
      </c>
      <c r="E1116" t="str">
        <f>"1CO-1204-21"</f>
        <v>1CO-1204-21</v>
      </c>
      <c r="F1116" t="str">
        <f>"A8329883 - G. CABALLERO-PATINO"</f>
        <v>A8329883 - G. CABALLERO-PATINO</v>
      </c>
      <c r="G1116" s="3">
        <v>114.75</v>
      </c>
      <c r="H1116" t="str">
        <f>"A8329883 - G. CABALLERO-PATINO"</f>
        <v>A8329883 - G. CABALLERO-PATINO</v>
      </c>
    </row>
    <row r="1117" spans="1:8" x14ac:dyDescent="0.25">
      <c r="E1117" t="str">
        <f>"1CO-2060-20"</f>
        <v>1CO-2060-20</v>
      </c>
      <c r="F1117" t="str">
        <f>"A8329825 - A. PATINO JR."</f>
        <v>A8329825 - A. PATINO JR.</v>
      </c>
      <c r="G1117" s="3">
        <v>114.75</v>
      </c>
      <c r="H1117" t="str">
        <f>"A8329825 - A. PATINO JR."</f>
        <v>A8329825 - A. PATINO JR.</v>
      </c>
    </row>
    <row r="1118" spans="1:8" x14ac:dyDescent="0.25">
      <c r="E1118" t="str">
        <f>"J2-47937"</f>
        <v>J2-47937</v>
      </c>
      <c r="F1118" t="str">
        <f>"A13086 - ANJANETTE LASHAY"</f>
        <v>A13086 - ANJANETTE LASHAY</v>
      </c>
      <c r="G1118" s="3">
        <v>170</v>
      </c>
      <c r="H1118" t="str">
        <f>"A13086 - ANJANETTE LASHAY"</f>
        <v>A13086 - ANJANETTE LASHAY</v>
      </c>
    </row>
    <row r="1119" spans="1:8" x14ac:dyDescent="0.25">
      <c r="E1119" t="str">
        <f>"J2-68837"</f>
        <v>J2-68837</v>
      </c>
      <c r="F1119" t="str">
        <f>"A8329865 - R. MATLOCK"</f>
        <v>A8329865 - R. MATLOCK</v>
      </c>
      <c r="G1119" s="3">
        <v>425</v>
      </c>
      <c r="H1119" t="str">
        <f>"A8329865 - R. MATLOCK"</f>
        <v>A8329865 - R. MATLOCK</v>
      </c>
    </row>
    <row r="1120" spans="1:8" x14ac:dyDescent="0.25">
      <c r="E1120" t="str">
        <f>"J2-69552"</f>
        <v>J2-69552</v>
      </c>
      <c r="F1120" t="str">
        <f>"A8353810 - TAYLOR M LONG"</f>
        <v>A8353810 - TAYLOR M LONG</v>
      </c>
      <c r="G1120" s="3">
        <v>114.75</v>
      </c>
      <c r="H1120" t="str">
        <f>"A8353810 - TAYLOR M LONG"</f>
        <v>A8353810 - TAYLOR M LONG</v>
      </c>
    </row>
    <row r="1121" spans="1:8" x14ac:dyDescent="0.25">
      <c r="E1121" t="str">
        <f>"J2-69564"</f>
        <v>J2-69564</v>
      </c>
      <c r="F1121" t="str">
        <f>"A8329891 - ARNOLD GOODE"</f>
        <v>A8329891 - ARNOLD GOODE</v>
      </c>
      <c r="G1121" s="3">
        <v>114.75</v>
      </c>
      <c r="H1121" t="str">
        <f>"A8329891 - ARNOLD GOODE"</f>
        <v>A8329891 - ARNOLD GOODE</v>
      </c>
    </row>
    <row r="1122" spans="1:8" x14ac:dyDescent="0.25">
      <c r="E1122" t="str">
        <f>"J2-69565"</f>
        <v>J2-69565</v>
      </c>
      <c r="F1122" t="str">
        <f>"A8372262 - HANNAH DALE"</f>
        <v>A8372262 - HANNAH DALE</v>
      </c>
      <c r="G1122" s="3">
        <v>114.75</v>
      </c>
      <c r="H1122" t="str">
        <f>"A8372262 - HANNAH DALE"</f>
        <v>A8372262 - HANNAH DALE</v>
      </c>
    </row>
    <row r="1123" spans="1:8" x14ac:dyDescent="0.25">
      <c r="E1123" t="str">
        <f>"J2-69590"</f>
        <v>J2-69590</v>
      </c>
      <c r="F1123" t="str">
        <f>"A8361126 - LUIS D RIVERA JR"</f>
        <v>A8361126 - LUIS D RIVERA JR</v>
      </c>
      <c r="G1123" s="3">
        <v>114.75</v>
      </c>
      <c r="H1123" t="str">
        <f>"A8361126 - LUIS D RIVERA JR"</f>
        <v>A8361126 - LUIS D RIVERA JR</v>
      </c>
    </row>
    <row r="1124" spans="1:8" x14ac:dyDescent="0.25">
      <c r="E1124" t="str">
        <f>"J2-69607"</f>
        <v>J2-69607</v>
      </c>
      <c r="F1124" t="str">
        <f>"A8361128 - JOSEPH WAYNE"</f>
        <v>A8361128 - JOSEPH WAYNE</v>
      </c>
      <c r="G1124" s="3">
        <v>80.75</v>
      </c>
      <c r="H1124" t="str">
        <f>"A8361128 - JOSEPH WAYNE"</f>
        <v>A8361128 - JOSEPH WAYNE</v>
      </c>
    </row>
    <row r="1125" spans="1:8" x14ac:dyDescent="0.25">
      <c r="E1125" t="str">
        <f>"J2-70217"</f>
        <v>J2-70217</v>
      </c>
      <c r="F1125" t="str">
        <f>"A-16709 - ROBERT CAMERON"</f>
        <v>A-16709 - ROBERT CAMERON</v>
      </c>
      <c r="G1125" s="3">
        <v>81</v>
      </c>
      <c r="H1125" t="str">
        <f>"A-16709 - ROBERT CAMERON"</f>
        <v>A-16709 - ROBERT CAMERON</v>
      </c>
    </row>
    <row r="1126" spans="1:8" x14ac:dyDescent="0.25">
      <c r="E1126" t="str">
        <f>"J2-70218"</f>
        <v>J2-70218</v>
      </c>
      <c r="F1126" t="str">
        <f>"A-16710 - MORGAN ASHLEY"</f>
        <v>A-16710 - MORGAN ASHLEY</v>
      </c>
      <c r="G1126" s="3">
        <v>81</v>
      </c>
      <c r="H1126" t="str">
        <f>"A-16710 - MORGAN ASHLEY"</f>
        <v>A-16710 - MORGAN ASHLEY</v>
      </c>
    </row>
    <row r="1127" spans="1:8" x14ac:dyDescent="0.25">
      <c r="E1127" t="str">
        <f>"J2-70219"</f>
        <v>J2-70219</v>
      </c>
      <c r="F1127" t="str">
        <f>"A-13218 - DARREN MARSHALL"</f>
        <v>A-13218 - DARREN MARSHALL</v>
      </c>
      <c r="G1127" s="3">
        <v>114.75</v>
      </c>
      <c r="H1127" t="str">
        <f>"A-13218 - DARREN MARSHALL"</f>
        <v>A-13218 - DARREN MARSHALL</v>
      </c>
    </row>
    <row r="1128" spans="1:8" x14ac:dyDescent="0.25">
      <c r="E1128" t="str">
        <f>"J2-70220"</f>
        <v>J2-70220</v>
      </c>
      <c r="F1128" t="str">
        <f>"A-13217 - TONY REID"</f>
        <v>A-13217 - TONY REID</v>
      </c>
      <c r="G1128" s="3">
        <v>81</v>
      </c>
      <c r="H1128" t="str">
        <f>"A-13217 - TONY REID"</f>
        <v>A-13217 - TONY REID</v>
      </c>
    </row>
    <row r="1129" spans="1:8" x14ac:dyDescent="0.25">
      <c r="E1129" t="str">
        <f>"J2-70227"</f>
        <v>J2-70227</v>
      </c>
      <c r="F1129" t="str">
        <f>"A8382110 - ROBERTT T. LADUKE"</f>
        <v>A8382110 - ROBERTT T. LADUKE</v>
      </c>
      <c r="G1129" s="3">
        <v>157.25</v>
      </c>
      <c r="H1129" t="str">
        <f>"A8382110 - ROBERTT T. LADUKE"</f>
        <v>A8382110 - ROBERTT T. LADUKE</v>
      </c>
    </row>
    <row r="1130" spans="1:8" x14ac:dyDescent="0.25">
      <c r="E1130" t="str">
        <f>"J2-70319"</f>
        <v>J2-70319</v>
      </c>
      <c r="F1130" t="str">
        <f>"A-12866 - MASON ERICKSON"</f>
        <v>A-12866 - MASON ERICKSON</v>
      </c>
      <c r="G1130" s="3">
        <v>81</v>
      </c>
      <c r="H1130" t="str">
        <f>"A-12866 - MASON ERICKSON"</f>
        <v>A-12866 - MASON ERICKSON</v>
      </c>
    </row>
    <row r="1131" spans="1:8" x14ac:dyDescent="0.25">
      <c r="E1131" t="str">
        <f>"J2-70442"</f>
        <v>J2-70442</v>
      </c>
      <c r="F1131" t="str">
        <f>"A8382150 - KATHERINE LYNN"</f>
        <v>A8382150 - KATHERINE LYNN</v>
      </c>
      <c r="G1131" s="3">
        <v>114.75</v>
      </c>
      <c r="H1131" t="str">
        <f>"A8382150 - KATHERINE LYNN"</f>
        <v>A8382150 - KATHERINE LYNN</v>
      </c>
    </row>
    <row r="1132" spans="1:8" x14ac:dyDescent="0.25">
      <c r="E1132" t="str">
        <f>"J2-70473"</f>
        <v>J2-70473</v>
      </c>
      <c r="F1132" t="str">
        <f>"A8382121 - CHRISTOPHER ROE"</f>
        <v>A8382121 - CHRISTOPHER ROE</v>
      </c>
      <c r="G1132" s="3">
        <v>114.75</v>
      </c>
      <c r="H1132" t="str">
        <f>"A8382121 - CHRISTOPHER ROE"</f>
        <v>A8382121 - CHRISTOPHER ROE</v>
      </c>
    </row>
    <row r="1133" spans="1:8" x14ac:dyDescent="0.25">
      <c r="E1133" t="str">
        <f>"J2-70525"</f>
        <v>J2-70525</v>
      </c>
      <c r="F1133" t="str">
        <f>"A8382160 - RICARDO RODRIGUEZ"</f>
        <v>A8382160 - RICARDO RODRIGUEZ</v>
      </c>
      <c r="G1133" s="3">
        <v>157.25</v>
      </c>
      <c r="H1133" t="str">
        <f>"A8382160 - RICARDO RODRIGUEZ"</f>
        <v>A8382160 - RICARDO RODRIGUEZ</v>
      </c>
    </row>
    <row r="1134" spans="1:8" x14ac:dyDescent="0.25">
      <c r="E1134" t="str">
        <f>"J2-70859"</f>
        <v>J2-70859</v>
      </c>
      <c r="F1134" t="str">
        <f>"A-13219 - J.W. MACEDO"</f>
        <v>A-13219 - J.W. MACEDO</v>
      </c>
      <c r="G1134" s="3">
        <v>81</v>
      </c>
      <c r="H1134" t="str">
        <f>"A-13219 - J.W. MACEDO"</f>
        <v>A-13219 - J.W. MACEDO</v>
      </c>
    </row>
    <row r="1135" spans="1:8" x14ac:dyDescent="0.25">
      <c r="A1135" t="s">
        <v>390</v>
      </c>
      <c r="B1135">
        <v>137552</v>
      </c>
      <c r="C1135" s="3">
        <v>425.25</v>
      </c>
      <c r="D1135" s="4">
        <v>44494</v>
      </c>
      <c r="E1135" t="str">
        <f>"J2-70122"</f>
        <v>J2-70122</v>
      </c>
      <c r="F1135" t="str">
        <f>"A12747 - A.A. QUEVEDO"</f>
        <v>A12747 - A.A. QUEVEDO</v>
      </c>
      <c r="G1135" s="3">
        <v>81</v>
      </c>
      <c r="H1135" t="str">
        <f>"A12747 - A.A. QUEVEDO"</f>
        <v>A12747 - A.A. QUEVEDO</v>
      </c>
    </row>
    <row r="1136" spans="1:8" x14ac:dyDescent="0.25">
      <c r="E1136" t="str">
        <f>"J2-70272"</f>
        <v>J2-70272</v>
      </c>
      <c r="F1136" t="str">
        <f>"A8353782 - T.Q. NGUYEN"</f>
        <v>A8353782 - T.Q. NGUYEN</v>
      </c>
      <c r="G1136" s="3">
        <v>114.75</v>
      </c>
      <c r="H1136" t="str">
        <f>"A8353782 - T.Q. NGUYEN"</f>
        <v>A8353782 - T.Q. NGUYEN</v>
      </c>
    </row>
    <row r="1137" spans="1:8" x14ac:dyDescent="0.25">
      <c r="E1137" t="str">
        <f>"J2-70457"</f>
        <v>J2-70457</v>
      </c>
      <c r="F1137" t="str">
        <f>"A8353787 - J.A. JUAREZ"</f>
        <v>A8353787 - J.A. JUAREZ</v>
      </c>
      <c r="G1137" s="3">
        <v>114.75</v>
      </c>
      <c r="H1137" t="str">
        <f>"A8353787 - J.A. JUAREZ"</f>
        <v>A8353787 - J.A. JUAREZ</v>
      </c>
    </row>
    <row r="1138" spans="1:8" x14ac:dyDescent="0.25">
      <c r="E1138" t="str">
        <f>"J2-70913"</f>
        <v>J2-70913</v>
      </c>
      <c r="F1138" t="str">
        <f>"A-13811 - J.L. BARRIOS"</f>
        <v>A-13811 - J.L. BARRIOS</v>
      </c>
      <c r="G1138" s="3">
        <v>114.75</v>
      </c>
      <c r="H1138" t="str">
        <f>"A-13811 - J.L. BARRIOS"</f>
        <v>A-13811 - J.L. BARRIOS</v>
      </c>
    </row>
    <row r="1139" spans="1:8" x14ac:dyDescent="0.25">
      <c r="A1139" t="s">
        <v>391</v>
      </c>
      <c r="B1139">
        <v>137317</v>
      </c>
      <c r="C1139" s="3">
        <v>1362.59</v>
      </c>
      <c r="D1139" s="4">
        <v>44481</v>
      </c>
      <c r="E1139" t="str">
        <f>"210919"</f>
        <v>210919</v>
      </c>
      <c r="F1139" t="str">
        <f>"MOGO HOSE/PCT#2"</f>
        <v>MOGO HOSE/PCT#2</v>
      </c>
      <c r="G1139" s="3">
        <v>1362.59</v>
      </c>
      <c r="H1139" t="str">
        <f>"JOHN THOMAS GARRETT"</f>
        <v>JOHN THOMAS GARRETT</v>
      </c>
    </row>
    <row r="1140" spans="1:8" x14ac:dyDescent="0.25">
      <c r="A1140" t="s">
        <v>392</v>
      </c>
      <c r="B1140">
        <v>137553</v>
      </c>
      <c r="C1140" s="3">
        <v>50</v>
      </c>
      <c r="D1140" s="4">
        <v>44494</v>
      </c>
      <c r="E1140" t="str">
        <f>"202110196604"</f>
        <v>202110196604</v>
      </c>
      <c r="F1140" t="str">
        <f>"DESTINATION DAY FEE"</f>
        <v>DESTINATION DAY FEE</v>
      </c>
      <c r="G1140" s="3">
        <v>50</v>
      </c>
      <c r="H1140" t="str">
        <f>"DESTINATION DAY FEE"</f>
        <v>DESTINATION DAY FEE</v>
      </c>
    </row>
    <row r="1141" spans="1:8" x14ac:dyDescent="0.25">
      <c r="A1141" t="s">
        <v>393</v>
      </c>
      <c r="B1141">
        <v>5287</v>
      </c>
      <c r="C1141" s="3">
        <v>446.23</v>
      </c>
      <c r="D1141" s="4">
        <v>44495</v>
      </c>
      <c r="E1141" t="str">
        <f>"202110196630"</f>
        <v>202110196630</v>
      </c>
      <c r="F1141" t="str">
        <f>"INDIGENT HEALTH"</f>
        <v>INDIGENT HEALTH</v>
      </c>
      <c r="G1141" s="3">
        <v>150.22</v>
      </c>
      <c r="H1141" t="str">
        <f>"INDIGENT HEALTH"</f>
        <v>INDIGENT HEALTH</v>
      </c>
    </row>
    <row r="1142" spans="1:8" x14ac:dyDescent="0.25">
      <c r="E1142" t="str">
        <f>""</f>
        <v/>
      </c>
      <c r="F1142" t="str">
        <f>""</f>
        <v/>
      </c>
      <c r="G1142" s="3">
        <v>296.01</v>
      </c>
      <c r="H1142" t="str">
        <f>"INDIGENT HEALTH"</f>
        <v>INDIGENT HEALTH</v>
      </c>
    </row>
    <row r="1143" spans="1:8" x14ac:dyDescent="0.25">
      <c r="A1143" t="s">
        <v>394</v>
      </c>
      <c r="B1143">
        <v>5199</v>
      </c>
      <c r="C1143" s="3">
        <v>1629.5</v>
      </c>
      <c r="D1143" s="4">
        <v>44482</v>
      </c>
      <c r="E1143" t="str">
        <f>"273899"</f>
        <v>273899</v>
      </c>
      <c r="F1143" t="str">
        <f>"ACCT#188757/PRECINCT 4"</f>
        <v>ACCT#188757/PRECINCT 4</v>
      </c>
      <c r="G1143" s="3">
        <v>95.5</v>
      </c>
      <c r="H1143" t="str">
        <f>"ACCT#188757/PRECINCT 4"</f>
        <v>ACCT#188757/PRECINCT 4</v>
      </c>
    </row>
    <row r="1144" spans="1:8" x14ac:dyDescent="0.25">
      <c r="E1144" t="str">
        <f>"273913"</f>
        <v>273913</v>
      </c>
      <c r="F1144" t="str">
        <f>"ACCT#188757/LBJ BUILDING"</f>
        <v>ACCT#188757/LBJ BUILDING</v>
      </c>
      <c r="G1144" s="3">
        <v>69</v>
      </c>
      <c r="H1144" t="str">
        <f>"ACCT#188757/LBJ BUILDING"</f>
        <v>ACCT#188757/LBJ BUILDING</v>
      </c>
    </row>
    <row r="1145" spans="1:8" x14ac:dyDescent="0.25">
      <c r="E1145" t="str">
        <f>"274675"</f>
        <v>274675</v>
      </c>
      <c r="F1145" t="str">
        <f>"ACCT#188757/TAX OFFICE"</f>
        <v>ACCT#188757/TAX OFFICE</v>
      </c>
      <c r="G1145" s="3">
        <v>102</v>
      </c>
      <c r="H1145" t="str">
        <f>"ACCT#188757/TAX OFFICE"</f>
        <v>ACCT#188757/TAX OFFICE</v>
      </c>
    </row>
    <row r="1146" spans="1:8" x14ac:dyDescent="0.25">
      <c r="E1146" t="str">
        <f>"274734"</f>
        <v>274734</v>
      </c>
      <c r="F1146" t="str">
        <f>"ACCT#188757/JUVENILE PROBATION"</f>
        <v>ACCT#188757/JUVENILE PROBATION</v>
      </c>
      <c r="G1146" s="3">
        <v>132</v>
      </c>
      <c r="H1146" t="str">
        <f>"ACCT#188757/JUVENILE PROBATION"</f>
        <v>ACCT#188757/JUVENILE PROBATION</v>
      </c>
    </row>
    <row r="1147" spans="1:8" x14ac:dyDescent="0.25">
      <c r="E1147" t="str">
        <f>"274797"</f>
        <v>274797</v>
      </c>
      <c r="F1147" t="str">
        <f>"ACCT#188757/EXTENSION HAB"</f>
        <v>ACCT#188757/EXTENSION HAB</v>
      </c>
      <c r="G1147" s="3">
        <v>89</v>
      </c>
      <c r="H1147" t="str">
        <f>"ACCT#188757/EXTENSION HAB"</f>
        <v>ACCT#188757/EXTENSION HAB</v>
      </c>
    </row>
    <row r="1148" spans="1:8" x14ac:dyDescent="0.25">
      <c r="E1148" t="str">
        <f>"274798"</f>
        <v>274798</v>
      </c>
      <c r="F1148" t="str">
        <f>"ACCT#188757/HISTORIC JAIL"</f>
        <v>ACCT#188757/HISTORIC JAIL</v>
      </c>
      <c r="G1148" s="3">
        <v>76</v>
      </c>
      <c r="H1148" t="str">
        <f>"ACCT#188757/HISTORIC JAIL"</f>
        <v>ACCT#188757/HISTORIC JAIL</v>
      </c>
    </row>
    <row r="1149" spans="1:8" x14ac:dyDescent="0.25">
      <c r="E1149" t="str">
        <f>"275400"</f>
        <v>275400</v>
      </c>
      <c r="F1149" t="str">
        <f>"ACCT#188757/PRECINCT #3"</f>
        <v>ACCT#188757/PRECINCT #3</v>
      </c>
      <c r="G1149" s="3">
        <v>95</v>
      </c>
      <c r="H1149" t="str">
        <f>"ACCT#188757/PRECINCT #3"</f>
        <v>ACCT#188757/PRECINCT #3</v>
      </c>
    </row>
    <row r="1150" spans="1:8" x14ac:dyDescent="0.25">
      <c r="E1150" t="str">
        <f>"277088"</f>
        <v>277088</v>
      </c>
      <c r="F1150" t="str">
        <f>"ACCT#188757/COURTHOUSE"</f>
        <v>ACCT#188757/COURTHOUSE</v>
      </c>
      <c r="G1150" s="3">
        <v>486</v>
      </c>
      <c r="H1150" t="str">
        <f>"ACCT#188757/COURTHOUSE"</f>
        <v>ACCT#188757/COURTHOUSE</v>
      </c>
    </row>
    <row r="1151" spans="1:8" x14ac:dyDescent="0.25">
      <c r="E1151" t="str">
        <f>"277995"</f>
        <v>277995</v>
      </c>
      <c r="F1151" t="str">
        <f>"ACCT#188757/SPD/TDL"</f>
        <v>ACCT#188757/SPD/TDL</v>
      </c>
      <c r="G1151" s="3">
        <v>76</v>
      </c>
      <c r="H1151" t="str">
        <f>"ACCT#188757/SPD/TDL"</f>
        <v>ACCT#188757/SPD/TDL</v>
      </c>
    </row>
    <row r="1152" spans="1:8" x14ac:dyDescent="0.25">
      <c r="E1152" t="str">
        <f>"278005"</f>
        <v>278005</v>
      </c>
      <c r="F1152" t="str">
        <f>"ACCT#188757/JUVENILE PROB"</f>
        <v>ACCT#188757/JUVENILE PROB</v>
      </c>
      <c r="G1152" s="3">
        <v>132</v>
      </c>
      <c r="H1152" t="str">
        <f>"ACCT#188757/JUVENILE PROB"</f>
        <v>ACCT#188757/JUVENILE PROB</v>
      </c>
    </row>
    <row r="1153" spans="1:8" x14ac:dyDescent="0.25">
      <c r="E1153" t="str">
        <f>"278034"</f>
        <v>278034</v>
      </c>
      <c r="F1153" t="str">
        <f>"ACCT#188757/HISTORIC JAIL"</f>
        <v>ACCT#188757/HISTORIC JAIL</v>
      </c>
      <c r="G1153" s="3">
        <v>76</v>
      </c>
      <c r="H1153" t="str">
        <f>"ACCT#188757/HISTORIC JAIL"</f>
        <v>ACCT#188757/HISTORIC JAIL</v>
      </c>
    </row>
    <row r="1154" spans="1:8" x14ac:dyDescent="0.25">
      <c r="E1154" t="str">
        <f>"278058"</f>
        <v>278058</v>
      </c>
      <c r="F1154" t="str">
        <f>"ACCT#188757/EXTENSION HAB"</f>
        <v>ACCT#188757/EXTENSION HAB</v>
      </c>
      <c r="G1154" s="3">
        <v>89</v>
      </c>
      <c r="H1154" t="str">
        <f>"ACCT#188757/EXTENSION HAB"</f>
        <v>ACCT#188757/EXTENSION HAB</v>
      </c>
    </row>
    <row r="1155" spans="1:8" x14ac:dyDescent="0.25">
      <c r="E1155" t="str">
        <f>"278103"</f>
        <v>278103</v>
      </c>
      <c r="F1155" t="str">
        <f>"ACCT#188757/MIKE FISHER BULD"</f>
        <v>ACCT#188757/MIKE FISHER BULD</v>
      </c>
      <c r="G1155" s="3">
        <v>112</v>
      </c>
      <c r="H1155" t="str">
        <f>"ACCT#188757/MIKE FISHER BULD"</f>
        <v>ACCT#188757/MIKE FISHER BULD</v>
      </c>
    </row>
    <row r="1156" spans="1:8" x14ac:dyDescent="0.25">
      <c r="A1156" t="s">
        <v>394</v>
      </c>
      <c r="B1156">
        <v>5278</v>
      </c>
      <c r="C1156" s="3">
        <v>417</v>
      </c>
      <c r="D1156" s="4">
        <v>44495</v>
      </c>
      <c r="E1156" t="str">
        <f>"278522"</f>
        <v>278522</v>
      </c>
      <c r="F1156" t="str">
        <f>"ACCT#188757/CEDAR CREEK PARK"</f>
        <v>ACCT#188757/CEDAR CREEK PARK</v>
      </c>
      <c r="G1156" s="3">
        <v>125</v>
      </c>
      <c r="H1156" t="str">
        <f>"ACCT#188757/CEDAR CREEK PARK"</f>
        <v>ACCT#188757/CEDAR CREEK PARK</v>
      </c>
    </row>
    <row r="1157" spans="1:8" x14ac:dyDescent="0.25">
      <c r="E1157" t="str">
        <f>"278789"</f>
        <v>278789</v>
      </c>
      <c r="F1157" t="str">
        <f>"ACCT#188757/JP2 ANNEX BLDG"</f>
        <v>ACCT#188757/JP2 ANNEX BLDG</v>
      </c>
      <c r="G1157" s="3">
        <v>95</v>
      </c>
      <c r="H1157" t="str">
        <f>"ACCT#188757/JP2 ANNEX BLDG"</f>
        <v>ACCT#188757/JP2 ANNEX BLDG</v>
      </c>
    </row>
    <row r="1158" spans="1:8" x14ac:dyDescent="0.25">
      <c r="E1158" t="str">
        <f>"278826"</f>
        <v>278826</v>
      </c>
      <c r="F1158" t="str">
        <f>"ACCT#188757/PCT#2 MAINT BARN"</f>
        <v>ACCT#188757/PCT#2 MAINT BARN</v>
      </c>
      <c r="G1158" s="3">
        <v>95</v>
      </c>
      <c r="H1158" t="str">
        <f>"ACCT#188757/PCT#2 MAINT BARN"</f>
        <v>ACCT#188757/PCT#2 MAINT BARN</v>
      </c>
    </row>
    <row r="1159" spans="1:8" x14ac:dyDescent="0.25">
      <c r="E1159" t="str">
        <f>"279180"</f>
        <v>279180</v>
      </c>
      <c r="F1159" t="str">
        <f>"ACCT#188757/TAX OFFICE"</f>
        <v>ACCT#188757/TAX OFFICE</v>
      </c>
      <c r="G1159" s="3">
        <v>102</v>
      </c>
      <c r="H1159" t="str">
        <f>"ACCT#188757/TAX OFFICE"</f>
        <v>ACCT#188757/TAX OFFICE</v>
      </c>
    </row>
    <row r="1160" spans="1:8" x14ac:dyDescent="0.25">
      <c r="A1160" t="s">
        <v>395</v>
      </c>
      <c r="B1160">
        <v>5194</v>
      </c>
      <c r="C1160" s="3">
        <v>400</v>
      </c>
      <c r="D1160" s="4">
        <v>44482</v>
      </c>
      <c r="E1160" t="str">
        <f>"202110056064"</f>
        <v>202110056064</v>
      </c>
      <c r="F1160" t="str">
        <f>"16-924"</f>
        <v>16-924</v>
      </c>
      <c r="G1160" s="3">
        <v>400</v>
      </c>
      <c r="H1160" t="str">
        <f>"16-924"</f>
        <v>16-924</v>
      </c>
    </row>
    <row r="1161" spans="1:8" x14ac:dyDescent="0.25">
      <c r="A1161" t="s">
        <v>396</v>
      </c>
      <c r="B1161">
        <v>137318</v>
      </c>
      <c r="C1161" s="3">
        <v>367.05</v>
      </c>
      <c r="D1161" s="4">
        <v>44481</v>
      </c>
      <c r="E1161" t="str">
        <f>"82771629"</f>
        <v>82771629</v>
      </c>
      <c r="F1161" t="str">
        <f>"INV 82771629"</f>
        <v>INV 82771629</v>
      </c>
      <c r="G1161" s="3">
        <v>367.05</v>
      </c>
      <c r="H1161" t="str">
        <f>"INV 82771629"</f>
        <v>INV 82771629</v>
      </c>
    </row>
    <row r="1162" spans="1:8" x14ac:dyDescent="0.25">
      <c r="A1162" t="s">
        <v>397</v>
      </c>
      <c r="B1162">
        <v>137554</v>
      </c>
      <c r="C1162" s="3">
        <v>157.35</v>
      </c>
      <c r="D1162" s="4">
        <v>44494</v>
      </c>
      <c r="E1162" t="str">
        <f>"10062107"</f>
        <v>10062107</v>
      </c>
      <c r="F1162" t="str">
        <f>"BOTTLES/VET VIALS/ANIMAL SHELT"</f>
        <v>BOTTLES/VET VIALS/ANIMAL SHELT</v>
      </c>
      <c r="G1162" s="3">
        <v>157.35</v>
      </c>
      <c r="H1162" t="str">
        <f>"BOTTLES/VET VIALS/ANIMAL SHELT"</f>
        <v>BOTTLES/VET VIALS/ANIMAL SHELT</v>
      </c>
    </row>
    <row r="1163" spans="1:8" x14ac:dyDescent="0.25">
      <c r="A1163" t="s">
        <v>398</v>
      </c>
      <c r="B1163">
        <v>137555</v>
      </c>
      <c r="C1163" s="3">
        <v>1456.59</v>
      </c>
      <c r="D1163" s="4">
        <v>44494</v>
      </c>
      <c r="E1163" t="str">
        <f>"845079585"</f>
        <v>845079585</v>
      </c>
      <c r="F1163" t="str">
        <f>"ACCT#1000648597/ONLINE/SOFTWA"</f>
        <v>ACCT#1000648597/ONLINE/SOFTWA</v>
      </c>
      <c r="G1163" s="3">
        <v>600</v>
      </c>
      <c r="H1163" t="str">
        <f>"ACCT#1000648597/ONLINE/SOFTWA"</f>
        <v>ACCT#1000648597/ONLINE/SOFTWA</v>
      </c>
    </row>
    <row r="1164" spans="1:8" x14ac:dyDescent="0.25">
      <c r="E1164" t="str">
        <f>"845090970"</f>
        <v>845090970</v>
      </c>
      <c r="F1164" t="str">
        <f>"ACCT#1000310962/ONLINE/SOFTWAR"</f>
        <v>ACCT#1000310962/ONLINE/SOFTWAR</v>
      </c>
      <c r="G1164" s="3">
        <v>856.59</v>
      </c>
      <c r="H1164" t="str">
        <f>"ACCT#1000310962/ONLINE/SOFTWAR"</f>
        <v>ACCT#1000310962/ONLINE/SOFTWAR</v>
      </c>
    </row>
    <row r="1165" spans="1:8" x14ac:dyDescent="0.25">
      <c r="A1165" t="s">
        <v>399</v>
      </c>
      <c r="B1165">
        <v>137319</v>
      </c>
      <c r="C1165" s="3">
        <v>644.47</v>
      </c>
      <c r="D1165" s="4">
        <v>44481</v>
      </c>
      <c r="E1165" t="str">
        <f>"0167100091621"</f>
        <v>0167100091621</v>
      </c>
      <c r="F1165" t="str">
        <f>"ACCT#8260 16 017 0167100"</f>
        <v>ACCT#8260 16 017 0167100</v>
      </c>
      <c r="G1165" s="3">
        <v>322.24</v>
      </c>
      <c r="H1165" t="str">
        <f>"ACCT#8260 16 017 0167100"</f>
        <v>ACCT#8260 16 017 0167100</v>
      </c>
    </row>
    <row r="1166" spans="1:8" x14ac:dyDescent="0.25">
      <c r="E1166" t="str">
        <f>"0167100091621 - 1"</f>
        <v>0167100091621 - 1</v>
      </c>
      <c r="F1166" t="str">
        <f>"ACCT#8260 16 017 0167100"</f>
        <v>ACCT#8260 16 017 0167100</v>
      </c>
      <c r="G1166" s="3">
        <v>322.23</v>
      </c>
      <c r="H1166" t="str">
        <f>"ACCT#8260 16 017 0167100"</f>
        <v>ACCT#8260 16 017 0167100</v>
      </c>
    </row>
    <row r="1167" spans="1:8" x14ac:dyDescent="0.25">
      <c r="A1167" t="s">
        <v>399</v>
      </c>
      <c r="B1167">
        <v>137556</v>
      </c>
      <c r="C1167" s="3">
        <v>4353.66</v>
      </c>
      <c r="D1167" s="4">
        <v>44494</v>
      </c>
      <c r="E1167" t="str">
        <f>"0003669100821"</f>
        <v>0003669100821</v>
      </c>
      <c r="F1167" t="str">
        <f>"ACCT#8260163000003669"</f>
        <v>ACCT#8260163000003669</v>
      </c>
      <c r="G1167" s="3">
        <v>2912.54</v>
      </c>
      <c r="H1167" t="str">
        <f>"ACCT#8260163000003669"</f>
        <v>ACCT#8260163000003669</v>
      </c>
    </row>
    <row r="1168" spans="1:8" x14ac:dyDescent="0.25">
      <c r="E1168" t="str">
        <f>""</f>
        <v/>
      </c>
      <c r="F1168" t="str">
        <f>""</f>
        <v/>
      </c>
      <c r="G1168" s="3">
        <v>153.72</v>
      </c>
      <c r="H1168" t="str">
        <f>"ACCT#8260163000003669"</f>
        <v>ACCT#8260163000003669</v>
      </c>
    </row>
    <row r="1169" spans="1:8" x14ac:dyDescent="0.25">
      <c r="E1169" t="str">
        <f>"00827976100721"</f>
        <v>00827976100721</v>
      </c>
      <c r="F1169" t="str">
        <f>"ACCT#8260 16 117 0082976"</f>
        <v>ACCT#8260 16 117 0082976</v>
      </c>
      <c r="G1169" s="3">
        <v>308.77</v>
      </c>
      <c r="H1169" t="str">
        <f>"ACCT#8260 16 117 0082976"</f>
        <v>ACCT#8260 16 117 0082976</v>
      </c>
    </row>
    <row r="1170" spans="1:8" x14ac:dyDescent="0.25">
      <c r="E1170" t="str">
        <f>"0155923101221"</f>
        <v>0155923101221</v>
      </c>
      <c r="F1170" t="str">
        <f>"ACCT#8260 16 017 0155923"</f>
        <v>ACCT#8260 16 017 0155923</v>
      </c>
      <c r="G1170" s="3">
        <v>120.14</v>
      </c>
      <c r="H1170" t="str">
        <f>"ACCT#8260 16 017 0155923"</f>
        <v>ACCT#8260 16 017 0155923</v>
      </c>
    </row>
    <row r="1171" spans="1:8" x14ac:dyDescent="0.25">
      <c r="E1171" t="str">
        <f>"0164314100921"</f>
        <v>0164314100921</v>
      </c>
      <c r="F1171" t="str">
        <f>"ACCT#8260 16 111 0164314"</f>
        <v>ACCT#8260 16 111 0164314</v>
      </c>
      <c r="G1171" s="3">
        <v>668.43</v>
      </c>
      <c r="H1171" t="str">
        <f>"ACCT#8260 16 111 0164314"</f>
        <v>ACCT#8260 16 111 0164314</v>
      </c>
    </row>
    <row r="1172" spans="1:8" x14ac:dyDescent="0.25">
      <c r="E1172" t="str">
        <f>"0194162100621"</f>
        <v>0194162100621</v>
      </c>
      <c r="F1172" t="str">
        <f>"ACCT#8260 16 111 0194162"</f>
        <v>ACCT#8260 16 111 0194162</v>
      </c>
      <c r="G1172" s="3">
        <v>190.06</v>
      </c>
      <c r="H1172" t="str">
        <f>"ACCT#8260 16 111 0194162"</f>
        <v>ACCT#8260 16 111 0194162</v>
      </c>
    </row>
    <row r="1173" spans="1:8" x14ac:dyDescent="0.25">
      <c r="A1173" t="s">
        <v>400</v>
      </c>
      <c r="B1173">
        <v>137557</v>
      </c>
      <c r="C1173" s="3">
        <v>232.4</v>
      </c>
      <c r="D1173" s="4">
        <v>44494</v>
      </c>
      <c r="E1173" t="str">
        <f>"202110196637"</f>
        <v>202110196637</v>
      </c>
      <c r="F1173" t="str">
        <f>"Statement"</f>
        <v>Statement</v>
      </c>
      <c r="G1173" s="3">
        <v>232.4</v>
      </c>
      <c r="H1173" t="str">
        <f>"200140047"</f>
        <v>200140047</v>
      </c>
    </row>
    <row r="1174" spans="1:8" x14ac:dyDescent="0.25">
      <c r="A1174" t="s">
        <v>401</v>
      </c>
      <c r="B1174">
        <v>137558</v>
      </c>
      <c r="C1174" s="3">
        <v>56.76</v>
      </c>
      <c r="D1174" s="4">
        <v>44494</v>
      </c>
      <c r="E1174" t="str">
        <f>"15636502"</f>
        <v>15636502</v>
      </c>
      <c r="F1174" t="str">
        <f>"CUST#79910/NEOPRENE RING"</f>
        <v>CUST#79910/NEOPRENE RING</v>
      </c>
      <c r="G1174" s="3">
        <v>56.76</v>
      </c>
      <c r="H1174" t="str">
        <f>"CUST#79910/NEOPRENE RING"</f>
        <v>CUST#79910/NEOPRENE RING</v>
      </c>
    </row>
    <row r="1175" spans="1:8" x14ac:dyDescent="0.25">
      <c r="A1175" t="s">
        <v>402</v>
      </c>
      <c r="B1175">
        <v>137320</v>
      </c>
      <c r="C1175" s="3">
        <v>160</v>
      </c>
      <c r="D1175" s="4">
        <v>44481</v>
      </c>
      <c r="E1175" t="str">
        <f>"13374"</f>
        <v>13374</v>
      </c>
      <c r="F1175" t="str">
        <f>"SERVICE FEE  08/23/2021"</f>
        <v>SERVICE FEE  08/23/2021</v>
      </c>
      <c r="G1175" s="3">
        <v>80</v>
      </c>
      <c r="H1175" t="str">
        <f>"SERVICE FEE  08/23/2021"</f>
        <v>SERVICE FEE  08/23/2021</v>
      </c>
    </row>
    <row r="1176" spans="1:8" x14ac:dyDescent="0.25">
      <c r="E1176" t="str">
        <f>"13775"</f>
        <v>13775</v>
      </c>
      <c r="F1176" t="str">
        <f>"SERVICE FEE  08/17/2021"</f>
        <v>SERVICE FEE  08/17/2021</v>
      </c>
      <c r="G1176" s="3">
        <v>80</v>
      </c>
      <c r="H1176" t="str">
        <f>"SERVICE FEE  08/17/2021"</f>
        <v>SERVICE FEE  08/17/2021</v>
      </c>
    </row>
    <row r="1177" spans="1:8" x14ac:dyDescent="0.25">
      <c r="A1177" t="s">
        <v>402</v>
      </c>
      <c r="B1177">
        <v>137559</v>
      </c>
      <c r="C1177" s="3">
        <v>80</v>
      </c>
      <c r="D1177" s="4">
        <v>44494</v>
      </c>
      <c r="E1177" t="str">
        <f>"13589"</f>
        <v>13589</v>
      </c>
      <c r="F1177" t="str">
        <f>"SERVICE"</f>
        <v>SERVICE</v>
      </c>
      <c r="G1177" s="3">
        <v>80</v>
      </c>
      <c r="H1177" t="str">
        <f>"SERVICE"</f>
        <v>SERVICE</v>
      </c>
    </row>
    <row r="1178" spans="1:8" x14ac:dyDescent="0.25">
      <c r="A1178" t="s">
        <v>403</v>
      </c>
      <c r="B1178">
        <v>137321</v>
      </c>
      <c r="C1178" s="3">
        <v>105.4</v>
      </c>
      <c r="D1178" s="4">
        <v>44481</v>
      </c>
      <c r="E1178" t="str">
        <f>"202109305923"</f>
        <v>202109305923</v>
      </c>
      <c r="F1178" t="str">
        <f>"JAIL MEDICAL"</f>
        <v>JAIL MEDICAL</v>
      </c>
      <c r="G1178" s="3">
        <v>105.4</v>
      </c>
      <c r="H1178" t="str">
        <f>"JAIL MEDICAL"</f>
        <v>JAIL MEDICAL</v>
      </c>
    </row>
    <row r="1179" spans="1:8" x14ac:dyDescent="0.25">
      <c r="A1179" t="s">
        <v>404</v>
      </c>
      <c r="B1179">
        <v>137560</v>
      </c>
      <c r="C1179" s="3">
        <v>7705</v>
      </c>
      <c r="D1179" s="4">
        <v>44494</v>
      </c>
      <c r="E1179" t="str">
        <f>"3300005151"</f>
        <v>3300005151</v>
      </c>
      <c r="F1179" t="str">
        <f>"CUST#100009/INV#3300005151"</f>
        <v>CUST#100009/INV#3300005151</v>
      </c>
      <c r="G1179" s="3">
        <v>3335</v>
      </c>
      <c r="H1179" t="str">
        <f>"CUST#100009/INV#3300005151"</f>
        <v>CUST#100009/INV#3300005151</v>
      </c>
    </row>
    <row r="1180" spans="1:8" x14ac:dyDescent="0.25">
      <c r="E1180" t="str">
        <f>"3300005152"</f>
        <v>3300005152</v>
      </c>
      <c r="F1180" t="str">
        <f>"CUST#100733/INV#330005152"</f>
        <v>CUST#100733/INV#330005152</v>
      </c>
      <c r="G1180" s="3">
        <v>4370</v>
      </c>
      <c r="H1180" t="str">
        <f>"CUST#100733/INV#330005152"</f>
        <v>CUST#100733/INV#330005152</v>
      </c>
    </row>
    <row r="1181" spans="1:8" x14ac:dyDescent="0.25">
      <c r="A1181" t="s">
        <v>405</v>
      </c>
      <c r="B1181">
        <v>137322</v>
      </c>
      <c r="C1181" s="3">
        <v>117.74</v>
      </c>
      <c r="D1181" s="4">
        <v>44481</v>
      </c>
      <c r="E1181" t="str">
        <f>"202109305924"</f>
        <v>202109305924</v>
      </c>
      <c r="F1181" t="str">
        <f>"JAIL MEDICAL"</f>
        <v>JAIL MEDICAL</v>
      </c>
      <c r="G1181" s="3">
        <v>117.74</v>
      </c>
      <c r="H1181" t="str">
        <f>"JAIL MEDICAL"</f>
        <v>JAIL MEDICAL</v>
      </c>
    </row>
    <row r="1182" spans="1:8" x14ac:dyDescent="0.25">
      <c r="A1182" t="s">
        <v>406</v>
      </c>
      <c r="B1182">
        <v>5243</v>
      </c>
      <c r="C1182" s="3">
        <v>400</v>
      </c>
      <c r="D1182" s="4">
        <v>44482</v>
      </c>
      <c r="E1182" t="str">
        <f>"202110056065"</f>
        <v>202110056065</v>
      </c>
      <c r="F1182" t="str">
        <f>"JP10203203200"</f>
        <v>JP10203203200</v>
      </c>
      <c r="G1182" s="3">
        <v>400</v>
      </c>
      <c r="H1182" t="str">
        <f>"JP10203203200"</f>
        <v>JP10203203200</v>
      </c>
    </row>
    <row r="1183" spans="1:8" x14ac:dyDescent="0.25">
      <c r="A1183" t="s">
        <v>406</v>
      </c>
      <c r="B1183">
        <v>5321</v>
      </c>
      <c r="C1183" s="3">
        <v>2275</v>
      </c>
      <c r="D1183" s="4">
        <v>44495</v>
      </c>
      <c r="E1183" t="str">
        <f>"202110156564"</f>
        <v>202110156564</v>
      </c>
      <c r="F1183" t="str">
        <f>"17 195"</f>
        <v>17 195</v>
      </c>
      <c r="G1183" s="3">
        <v>400</v>
      </c>
      <c r="H1183" t="str">
        <f>"17 195"</f>
        <v>17 195</v>
      </c>
    </row>
    <row r="1184" spans="1:8" x14ac:dyDescent="0.25">
      <c r="E1184" t="str">
        <f>"202110156565"</f>
        <v>202110156565</v>
      </c>
      <c r="F1184" t="str">
        <f>"20170230B  20170230A"</f>
        <v>20170230B  20170230A</v>
      </c>
      <c r="G1184" s="3">
        <v>600</v>
      </c>
      <c r="H1184" t="str">
        <f>"20170230B  20170230A"</f>
        <v>20170230B  20170230A</v>
      </c>
    </row>
    <row r="1185" spans="1:8" x14ac:dyDescent="0.25">
      <c r="E1185" t="str">
        <f>"202110186578"</f>
        <v>202110186578</v>
      </c>
      <c r="F1185" t="str">
        <f>"56 788"</f>
        <v>56 788</v>
      </c>
      <c r="G1185" s="3">
        <v>250</v>
      </c>
      <c r="H1185" t="str">
        <f>"56 788"</f>
        <v>56 788</v>
      </c>
    </row>
    <row r="1186" spans="1:8" x14ac:dyDescent="0.25">
      <c r="E1186" t="str">
        <f>"202110186579"</f>
        <v>202110186579</v>
      </c>
      <c r="F1186" t="str">
        <f>"308172019B"</f>
        <v>308172019B</v>
      </c>
      <c r="G1186" s="3">
        <v>250</v>
      </c>
      <c r="H1186" t="str">
        <f>"308172019B"</f>
        <v>308172019B</v>
      </c>
    </row>
    <row r="1187" spans="1:8" x14ac:dyDescent="0.25">
      <c r="E1187" t="str">
        <f>"202110186580"</f>
        <v>202110186580</v>
      </c>
      <c r="F1187" t="str">
        <f>"409199.7"</f>
        <v>409199.7</v>
      </c>
      <c r="G1187" s="3">
        <v>250</v>
      </c>
      <c r="H1187" t="str">
        <f>"409199.7"</f>
        <v>409199.7</v>
      </c>
    </row>
    <row r="1188" spans="1:8" x14ac:dyDescent="0.25">
      <c r="E1188" t="str">
        <f>"202110196629"</f>
        <v>202110196629</v>
      </c>
      <c r="F1188" t="str">
        <f>"1919-21"</f>
        <v>1919-21</v>
      </c>
      <c r="G1188" s="3">
        <v>125</v>
      </c>
      <c r="H1188" t="str">
        <f>"1919-21"</f>
        <v>1919-21</v>
      </c>
    </row>
    <row r="1189" spans="1:8" x14ac:dyDescent="0.25">
      <c r="E1189" t="str">
        <f>"202110196631"</f>
        <v>202110196631</v>
      </c>
      <c r="F1189" t="str">
        <f>"17 472"</f>
        <v>17 472</v>
      </c>
      <c r="G1189" s="3">
        <v>400</v>
      </c>
      <c r="H1189" t="str">
        <f>"17 472"</f>
        <v>17 472</v>
      </c>
    </row>
    <row r="1190" spans="1:8" x14ac:dyDescent="0.25">
      <c r="A1190" t="s">
        <v>407</v>
      </c>
      <c r="B1190">
        <v>5259</v>
      </c>
      <c r="C1190" s="3">
        <v>37</v>
      </c>
      <c r="D1190" s="4">
        <v>44495</v>
      </c>
      <c r="E1190" t="str">
        <f>"IV:21286:0628"</f>
        <v>IV:21286:0628</v>
      </c>
      <c r="F1190" t="str">
        <f>"ACCT#33036/ANIMAL SVCS"</f>
        <v>ACCT#33036/ANIMAL SVCS</v>
      </c>
      <c r="G1190" s="3">
        <v>37</v>
      </c>
      <c r="H1190" t="str">
        <f>"ACCT#33036/ANIMAL SVCS"</f>
        <v>ACCT#33036/ANIMAL SVCS</v>
      </c>
    </row>
    <row r="1191" spans="1:8" x14ac:dyDescent="0.25">
      <c r="A1191" t="s">
        <v>408</v>
      </c>
      <c r="B1191">
        <v>137323</v>
      </c>
      <c r="C1191" s="3">
        <v>3963</v>
      </c>
      <c r="D1191" s="4">
        <v>44481</v>
      </c>
      <c r="E1191" t="str">
        <f>"2365"</f>
        <v>2365</v>
      </c>
      <c r="F1191" t="str">
        <f>"2014 BOMAG/PCT#3"</f>
        <v>2014 BOMAG/PCT#3</v>
      </c>
      <c r="G1191" s="3">
        <v>3963</v>
      </c>
      <c r="H1191" t="str">
        <f>"2014 BOMAG/PCT#3"</f>
        <v>2014 BOMAG/PCT#3</v>
      </c>
    </row>
    <row r="1192" spans="1:8" x14ac:dyDescent="0.25">
      <c r="A1192" t="s">
        <v>408</v>
      </c>
      <c r="B1192">
        <v>137561</v>
      </c>
      <c r="C1192" s="3">
        <v>934.12</v>
      </c>
      <c r="D1192" s="4">
        <v>44494</v>
      </c>
      <c r="E1192" t="str">
        <f>"2438"</f>
        <v>2438</v>
      </c>
      <c r="F1192" t="str">
        <f>"LABOR/PARTS/SUPPLIES/PCT#3"</f>
        <v>LABOR/PARTS/SUPPLIES/PCT#3</v>
      </c>
      <c r="G1192" s="3">
        <v>934.12</v>
      </c>
      <c r="H1192" t="str">
        <f>"LABOR/PARTS/SUPPLIES/PCT#3"</f>
        <v>LABOR/PARTS/SUPPLIES/PCT#3</v>
      </c>
    </row>
    <row r="1193" spans="1:8" x14ac:dyDescent="0.25">
      <c r="A1193" t="s">
        <v>409</v>
      </c>
      <c r="B1193">
        <v>137562</v>
      </c>
      <c r="C1193" s="3">
        <v>1781.89</v>
      </c>
      <c r="D1193" s="4">
        <v>44494</v>
      </c>
      <c r="E1193" t="str">
        <f>"020-130575"</f>
        <v>020-130575</v>
      </c>
      <c r="F1193" t="str">
        <f>"CUST#42161/ODYSSEY DOC MNGT"</f>
        <v>CUST#42161/ODYSSEY DOC MNGT</v>
      </c>
      <c r="G1193" s="3">
        <v>590.89</v>
      </c>
      <c r="H1193" t="str">
        <f>"CUST#42161/ODYSSEY DOC MNGT"</f>
        <v>CUST#42161/ODYSSEY DOC MNGT</v>
      </c>
    </row>
    <row r="1194" spans="1:8" x14ac:dyDescent="0.25">
      <c r="E1194" t="str">
        <f>"130-123596"</f>
        <v>130-123596</v>
      </c>
      <c r="F1194" t="str">
        <f>"CUST#42161/ORD#16572"</f>
        <v>CUST#42161/ORD#16572</v>
      </c>
      <c r="G1194" s="3">
        <v>1191</v>
      </c>
      <c r="H1194" t="str">
        <f>"CUST#42161/ORD#16572"</f>
        <v>CUST#42161/ORD#16572</v>
      </c>
    </row>
    <row r="1195" spans="1:8" x14ac:dyDescent="0.25">
      <c r="A1195" t="s">
        <v>410</v>
      </c>
      <c r="B1195">
        <v>137563</v>
      </c>
      <c r="C1195" s="3">
        <v>97</v>
      </c>
      <c r="D1195" s="4">
        <v>44494</v>
      </c>
      <c r="E1195" t="str">
        <f>"202110186589"</f>
        <v>202110186589</v>
      </c>
      <c r="F1195" t="str">
        <f>"REIMBURSEMENT FOR LICENSE"</f>
        <v>REIMBURSEMENT FOR LICENSE</v>
      </c>
      <c r="G1195" s="3">
        <v>97</v>
      </c>
      <c r="H1195" t="str">
        <f>"REIMBURSEMENT FOR LICENSE"</f>
        <v>REIMBURSEMENT FOR LICENSE</v>
      </c>
    </row>
    <row r="1196" spans="1:8" x14ac:dyDescent="0.25">
      <c r="A1196" t="s">
        <v>411</v>
      </c>
      <c r="B1196">
        <v>5258</v>
      </c>
      <c r="C1196" s="3">
        <v>273.75</v>
      </c>
      <c r="D1196" s="4">
        <v>44495</v>
      </c>
      <c r="E1196" t="str">
        <f>"139243039"</f>
        <v>139243039</v>
      </c>
      <c r="F1196" t="str">
        <f>"ULINE ORDER"</f>
        <v>ULINE ORDER</v>
      </c>
      <c r="G1196" s="3">
        <v>181.5</v>
      </c>
      <c r="H1196" t="str">
        <f>"S-12832"</f>
        <v>S-12832</v>
      </c>
    </row>
    <row r="1197" spans="1:8" x14ac:dyDescent="0.25">
      <c r="E1197" t="str">
        <f>""</f>
        <v/>
      </c>
      <c r="F1197" t="str">
        <f>""</f>
        <v/>
      </c>
      <c r="G1197" s="3">
        <v>92.25</v>
      </c>
      <c r="H1197" t="str">
        <f>"SHIPPING COST"</f>
        <v>SHIPPING COST</v>
      </c>
    </row>
    <row r="1198" spans="1:8" x14ac:dyDescent="0.25">
      <c r="A1198" t="s">
        <v>412</v>
      </c>
      <c r="B1198">
        <v>137324</v>
      </c>
      <c r="C1198" s="3">
        <v>4522.58</v>
      </c>
      <c r="D1198" s="4">
        <v>44481</v>
      </c>
      <c r="E1198" t="str">
        <f>"202110066119"</f>
        <v>202110066119</v>
      </c>
      <c r="F1198" t="str">
        <f>"JAIL MEDICAL"</f>
        <v>JAIL MEDICAL</v>
      </c>
      <c r="G1198" s="3">
        <v>4522.58</v>
      </c>
      <c r="H1198" t="str">
        <f>"JAIL MEDICAL"</f>
        <v>JAIL MEDICAL</v>
      </c>
    </row>
    <row r="1199" spans="1:8" x14ac:dyDescent="0.25">
      <c r="A1199" t="s">
        <v>413</v>
      </c>
      <c r="B1199">
        <v>137564</v>
      </c>
      <c r="C1199" s="3">
        <v>6.35</v>
      </c>
      <c r="D1199" s="4">
        <v>44494</v>
      </c>
      <c r="E1199" t="str">
        <f>"00004FR115411"</f>
        <v>00004FR115411</v>
      </c>
      <c r="F1199" t="str">
        <f>"SHIPPER#4FR115"</f>
        <v>SHIPPER#4FR115</v>
      </c>
      <c r="G1199" s="3">
        <v>6.35</v>
      </c>
      <c r="H1199" t="str">
        <f>"SHIPPER#4FR115"</f>
        <v>SHIPPER#4FR115</v>
      </c>
    </row>
    <row r="1200" spans="1:8" x14ac:dyDescent="0.25">
      <c r="A1200" t="s">
        <v>414</v>
      </c>
      <c r="B1200">
        <v>137565</v>
      </c>
      <c r="C1200" s="3">
        <v>764.61</v>
      </c>
      <c r="D1200" s="4">
        <v>44494</v>
      </c>
      <c r="E1200" t="str">
        <f>"202110196632"</f>
        <v>202110196632</v>
      </c>
      <c r="F1200" t="str">
        <f>"INDIGENT HEALTH"</f>
        <v>INDIGENT HEALTH</v>
      </c>
      <c r="G1200" s="3">
        <v>402.09</v>
      </c>
      <c r="H1200" t="str">
        <f>"INDIGENT HEALTH"</f>
        <v>INDIGENT HEALTH</v>
      </c>
    </row>
    <row r="1201" spans="1:8" x14ac:dyDescent="0.25">
      <c r="E1201" t="str">
        <f>""</f>
        <v/>
      </c>
      <c r="F1201" t="str">
        <f>""</f>
        <v/>
      </c>
      <c r="G1201" s="3">
        <v>362.52</v>
      </c>
      <c r="H1201" t="str">
        <f>"INDIGENT HEALTH"</f>
        <v>INDIGENT HEALTH</v>
      </c>
    </row>
    <row r="1202" spans="1:8" x14ac:dyDescent="0.25">
      <c r="A1202" t="s">
        <v>415</v>
      </c>
      <c r="B1202">
        <v>137325</v>
      </c>
      <c r="C1202" s="3">
        <v>134.9</v>
      </c>
      <c r="D1202" s="4">
        <v>44481</v>
      </c>
      <c r="E1202" t="str">
        <f>"0213441-IN"</f>
        <v>0213441-IN</v>
      </c>
      <c r="F1202" t="str">
        <f>"ORD#0190878/ANIMAL SHELTER"</f>
        <v>ORD#0190878/ANIMAL SHELTER</v>
      </c>
      <c r="G1202" s="3">
        <v>134.9</v>
      </c>
      <c r="H1202" t="str">
        <f>"ORD#0190878/ANIMAL SHELTER"</f>
        <v>ORD#0190878/ANIMAL SHELTER</v>
      </c>
    </row>
    <row r="1203" spans="1:8" x14ac:dyDescent="0.25">
      <c r="A1203" t="s">
        <v>416</v>
      </c>
      <c r="B1203">
        <v>137326</v>
      </c>
      <c r="C1203" s="3">
        <v>1000</v>
      </c>
      <c r="D1203" s="4">
        <v>44481</v>
      </c>
      <c r="E1203" t="str">
        <f>"86880"</f>
        <v>86880</v>
      </c>
      <c r="F1203" t="str">
        <f>"VISUAL SYSTEMS GROUP"</f>
        <v>VISUAL SYSTEMS GROUP</v>
      </c>
      <c r="G1203" s="3">
        <v>1000</v>
      </c>
      <c r="H1203" t="str">
        <f>"INV 86880"</f>
        <v>INV 86880</v>
      </c>
    </row>
    <row r="1204" spans="1:8" x14ac:dyDescent="0.25">
      <c r="A1204" t="s">
        <v>417</v>
      </c>
      <c r="B1204">
        <v>137566</v>
      </c>
      <c r="C1204" s="3">
        <v>265.35000000000002</v>
      </c>
      <c r="D1204" s="4">
        <v>44494</v>
      </c>
      <c r="E1204" t="str">
        <f>"2014500"</f>
        <v>2014500</v>
      </c>
      <c r="F1204" t="str">
        <f>"REMOTE BIRTH ACCESS/SEPTEMBER"</f>
        <v>REMOTE BIRTH ACCESS/SEPTEMBER</v>
      </c>
      <c r="G1204" s="3">
        <v>265.35000000000002</v>
      </c>
      <c r="H1204" t="str">
        <f>"REMOTE BIRTH ACCESS/SEPTEMBER"</f>
        <v>REMOTE BIRTH ACCESS/SEPTEMBER</v>
      </c>
    </row>
    <row r="1205" spans="1:8" x14ac:dyDescent="0.25">
      <c r="A1205" t="s">
        <v>418</v>
      </c>
      <c r="B1205">
        <v>5208</v>
      </c>
      <c r="C1205" s="3">
        <v>48458</v>
      </c>
      <c r="D1205" s="4">
        <v>44482</v>
      </c>
      <c r="E1205" t="str">
        <f>"8693959212139"</f>
        <v>8693959212139</v>
      </c>
      <c r="F1205" t="str">
        <f>"09.24"</f>
        <v>09.24</v>
      </c>
      <c r="G1205" s="3">
        <v>-3260.29</v>
      </c>
      <c r="H1205" t="str">
        <f>"rebate"</f>
        <v>rebate</v>
      </c>
    </row>
    <row r="1206" spans="1:8" x14ac:dyDescent="0.25">
      <c r="E1206" t="str">
        <f>""</f>
        <v/>
      </c>
      <c r="F1206" t="str">
        <f>""</f>
        <v/>
      </c>
      <c r="G1206" s="3">
        <v>158</v>
      </c>
      <c r="H1206" t="str">
        <f>"fuel"</f>
        <v>fuel</v>
      </c>
    </row>
    <row r="1207" spans="1:8" x14ac:dyDescent="0.25">
      <c r="E1207" t="str">
        <f>""</f>
        <v/>
      </c>
      <c r="F1207" t="str">
        <f>""</f>
        <v/>
      </c>
      <c r="G1207" s="3">
        <v>-11.05</v>
      </c>
      <c r="H1207" t="str">
        <f>"tax"</f>
        <v>tax</v>
      </c>
    </row>
    <row r="1208" spans="1:8" x14ac:dyDescent="0.25">
      <c r="E1208" t="str">
        <f>""</f>
        <v/>
      </c>
      <c r="F1208" t="str">
        <f>""</f>
        <v/>
      </c>
      <c r="G1208" s="3">
        <v>2825.29</v>
      </c>
      <c r="H1208" t="str">
        <f>"fuel"</f>
        <v>fuel</v>
      </c>
    </row>
    <row r="1209" spans="1:8" x14ac:dyDescent="0.25">
      <c r="E1209" t="str">
        <f>""</f>
        <v/>
      </c>
      <c r="F1209" t="str">
        <f>""</f>
        <v/>
      </c>
      <c r="G1209" s="3">
        <v>-200.45</v>
      </c>
      <c r="H1209" t="str">
        <f>"tax"</f>
        <v>tax</v>
      </c>
    </row>
    <row r="1210" spans="1:8" x14ac:dyDescent="0.25">
      <c r="E1210" t="str">
        <f>""</f>
        <v/>
      </c>
      <c r="F1210" t="str">
        <f>""</f>
        <v/>
      </c>
      <c r="G1210" s="3">
        <v>52.5</v>
      </c>
      <c r="H1210" t="str">
        <f>"maintenance"</f>
        <v>maintenance</v>
      </c>
    </row>
    <row r="1211" spans="1:8" x14ac:dyDescent="0.25">
      <c r="E1211" t="str">
        <f>""</f>
        <v/>
      </c>
      <c r="F1211" t="str">
        <f>""</f>
        <v/>
      </c>
      <c r="G1211" s="3">
        <v>2867.12</v>
      </c>
      <c r="H1211" t="str">
        <f>"fuel"</f>
        <v>fuel</v>
      </c>
    </row>
    <row r="1212" spans="1:8" x14ac:dyDescent="0.25">
      <c r="E1212" t="str">
        <f>""</f>
        <v/>
      </c>
      <c r="F1212" t="str">
        <f>""</f>
        <v/>
      </c>
      <c r="G1212" s="3">
        <v>-197.23</v>
      </c>
      <c r="H1212" t="str">
        <f>"tax"</f>
        <v>tax</v>
      </c>
    </row>
    <row r="1213" spans="1:8" x14ac:dyDescent="0.25">
      <c r="E1213" t="str">
        <f>""</f>
        <v/>
      </c>
      <c r="F1213" t="str">
        <f>""</f>
        <v/>
      </c>
      <c r="G1213" s="3">
        <v>366.71</v>
      </c>
      <c r="H1213" t="str">
        <f>"maintenance"</f>
        <v>maintenance</v>
      </c>
    </row>
    <row r="1214" spans="1:8" x14ac:dyDescent="0.25">
      <c r="E1214" t="str">
        <f>""</f>
        <v/>
      </c>
      <c r="F1214" t="str">
        <f>""</f>
        <v/>
      </c>
      <c r="G1214" s="3">
        <v>35386.879999999997</v>
      </c>
      <c r="H1214" t="str">
        <f>"fuel"</f>
        <v>fuel</v>
      </c>
    </row>
    <row r="1215" spans="1:8" x14ac:dyDescent="0.25">
      <c r="E1215" t="str">
        <f>""</f>
        <v/>
      </c>
      <c r="F1215" t="str">
        <f>""</f>
        <v/>
      </c>
      <c r="G1215" s="3">
        <v>-2507.81</v>
      </c>
      <c r="H1215" t="str">
        <f>"tax"</f>
        <v>tax</v>
      </c>
    </row>
    <row r="1216" spans="1:8" x14ac:dyDescent="0.25">
      <c r="E1216" t="str">
        <f>""</f>
        <v/>
      </c>
      <c r="F1216" t="str">
        <f>""</f>
        <v/>
      </c>
      <c r="G1216" s="3">
        <v>7522.86</v>
      </c>
      <c r="H1216" t="str">
        <f>"maintenance"</f>
        <v>maintenance</v>
      </c>
    </row>
    <row r="1217" spans="1:8" x14ac:dyDescent="0.25">
      <c r="E1217" t="str">
        <f>""</f>
        <v/>
      </c>
      <c r="F1217" t="str">
        <f>""</f>
        <v/>
      </c>
      <c r="G1217" s="3">
        <v>1388.14</v>
      </c>
      <c r="H1217" t="str">
        <f>"fuel"</f>
        <v>fuel</v>
      </c>
    </row>
    <row r="1218" spans="1:8" x14ac:dyDescent="0.25">
      <c r="E1218" t="str">
        <f>""</f>
        <v/>
      </c>
      <c r="F1218" t="str">
        <f>""</f>
        <v/>
      </c>
      <c r="G1218" s="3">
        <v>7</v>
      </c>
      <c r="H1218" t="str">
        <f>"maintenance"</f>
        <v>maintenance</v>
      </c>
    </row>
    <row r="1219" spans="1:8" x14ac:dyDescent="0.25">
      <c r="E1219" t="str">
        <f>""</f>
        <v/>
      </c>
      <c r="F1219" t="str">
        <f>""</f>
        <v/>
      </c>
      <c r="G1219" s="3">
        <v>1378.15</v>
      </c>
      <c r="H1219" t="str">
        <f>"fuel"</f>
        <v>fuel</v>
      </c>
    </row>
    <row r="1220" spans="1:8" x14ac:dyDescent="0.25">
      <c r="E1220" t="str">
        <f>""</f>
        <v/>
      </c>
      <c r="F1220" t="str">
        <f>""</f>
        <v/>
      </c>
      <c r="G1220" s="3">
        <v>-93.07</v>
      </c>
      <c r="H1220" t="str">
        <f>"tax"</f>
        <v>tax</v>
      </c>
    </row>
    <row r="1221" spans="1:8" x14ac:dyDescent="0.25">
      <c r="E1221" t="str">
        <f>""</f>
        <v/>
      </c>
      <c r="F1221" t="str">
        <f>""</f>
        <v/>
      </c>
      <c r="G1221" s="3">
        <v>234</v>
      </c>
      <c r="H1221" t="str">
        <f>"maintenance"</f>
        <v>maintenance</v>
      </c>
    </row>
    <row r="1222" spans="1:8" x14ac:dyDescent="0.25">
      <c r="E1222" t="str">
        <f>""</f>
        <v/>
      </c>
      <c r="F1222" t="str">
        <f>""</f>
        <v/>
      </c>
      <c r="G1222" s="3">
        <v>1475.78</v>
      </c>
      <c r="H1222" t="str">
        <f>"fuel"</f>
        <v>fuel</v>
      </c>
    </row>
    <row r="1223" spans="1:8" x14ac:dyDescent="0.25">
      <c r="E1223" t="str">
        <f>""</f>
        <v/>
      </c>
      <c r="F1223" t="str">
        <f>""</f>
        <v/>
      </c>
      <c r="G1223" s="3">
        <v>-119.59</v>
      </c>
      <c r="H1223" t="str">
        <f>"tax"</f>
        <v>tax</v>
      </c>
    </row>
    <row r="1224" spans="1:8" x14ac:dyDescent="0.25">
      <c r="E1224" t="str">
        <f>""</f>
        <v/>
      </c>
      <c r="F1224" t="str">
        <f>""</f>
        <v/>
      </c>
      <c r="G1224" s="3">
        <v>77.17</v>
      </c>
      <c r="H1224" t="str">
        <f>"maintenance"</f>
        <v>maintenance</v>
      </c>
    </row>
    <row r="1225" spans="1:8" x14ac:dyDescent="0.25">
      <c r="E1225" t="str">
        <f>""</f>
        <v/>
      </c>
      <c r="F1225" t="str">
        <f>""</f>
        <v/>
      </c>
      <c r="G1225" s="3">
        <v>53.77</v>
      </c>
      <c r="H1225" t="str">
        <f>"fuel"</f>
        <v>fuel</v>
      </c>
    </row>
    <row r="1226" spans="1:8" x14ac:dyDescent="0.25">
      <c r="E1226" t="str">
        <f>""</f>
        <v/>
      </c>
      <c r="F1226" t="str">
        <f>""</f>
        <v/>
      </c>
      <c r="G1226" s="3">
        <v>-3.76</v>
      </c>
      <c r="H1226" t="str">
        <f>"tax"</f>
        <v>tax</v>
      </c>
    </row>
    <row r="1227" spans="1:8" x14ac:dyDescent="0.25">
      <c r="E1227" t="str">
        <f>""</f>
        <v/>
      </c>
      <c r="F1227" t="str">
        <f>""</f>
        <v/>
      </c>
      <c r="G1227" s="3">
        <v>723.69</v>
      </c>
      <c r="H1227" t="str">
        <f>"maintenance"</f>
        <v>maintenance</v>
      </c>
    </row>
    <row r="1228" spans="1:8" x14ac:dyDescent="0.25">
      <c r="E1228" t="str">
        <f>""</f>
        <v/>
      </c>
      <c r="F1228" t="str">
        <f>""</f>
        <v/>
      </c>
      <c r="G1228" s="3">
        <v>259.92</v>
      </c>
      <c r="H1228" t="str">
        <f>"fuel"</f>
        <v>fuel</v>
      </c>
    </row>
    <row r="1229" spans="1:8" x14ac:dyDescent="0.25">
      <c r="E1229" t="str">
        <f>""</f>
        <v/>
      </c>
      <c r="F1229" t="str">
        <f>""</f>
        <v/>
      </c>
      <c r="G1229" s="3">
        <v>-17.09</v>
      </c>
      <c r="H1229" t="str">
        <f>"tax"</f>
        <v>tax</v>
      </c>
    </row>
    <row r="1230" spans="1:8" x14ac:dyDescent="0.25">
      <c r="E1230" t="str">
        <f>""</f>
        <v/>
      </c>
      <c r="F1230" t="str">
        <f>""</f>
        <v/>
      </c>
      <c r="G1230" s="3">
        <v>91.36</v>
      </c>
      <c r="H1230" t="str">
        <f>"maintenance"</f>
        <v>maintenance</v>
      </c>
    </row>
    <row r="1231" spans="1:8" x14ac:dyDescent="0.25">
      <c r="A1231" t="s">
        <v>419</v>
      </c>
      <c r="B1231">
        <v>137327</v>
      </c>
      <c r="C1231" s="3">
        <v>90</v>
      </c>
      <c r="D1231" s="4">
        <v>44481</v>
      </c>
      <c r="E1231" t="str">
        <f>"10458351"</f>
        <v>10458351</v>
      </c>
      <c r="F1231" t="str">
        <f>"ACCT#00010699-4/PCT#3"</f>
        <v>ACCT#00010699-4/PCT#3</v>
      </c>
      <c r="G1231" s="3">
        <v>90</v>
      </c>
      <c r="H1231" t="str">
        <f>"ACCT#00010699-4/PCT#3"</f>
        <v>ACCT#00010699-4/PCT#3</v>
      </c>
    </row>
    <row r="1232" spans="1:8" x14ac:dyDescent="0.25">
      <c r="A1232" t="s">
        <v>420</v>
      </c>
      <c r="B1232">
        <v>137567</v>
      </c>
      <c r="C1232" s="3">
        <v>182.75</v>
      </c>
      <c r="D1232" s="4">
        <v>44494</v>
      </c>
      <c r="E1232" t="str">
        <f>"0921-DR14926"</f>
        <v>0921-DR14926</v>
      </c>
      <c r="F1232" t="str">
        <f>"CXD 14926/SEPTEMBER"</f>
        <v>CXD 14926/SEPTEMBER</v>
      </c>
      <c r="G1232" s="3">
        <v>182.75</v>
      </c>
      <c r="H1232" t="str">
        <f>"CXD 14926/SEPTEMBER"</f>
        <v>CXD 14926/SEPTEMBER</v>
      </c>
    </row>
    <row r="1233" spans="1:8" x14ac:dyDescent="0.25">
      <c r="A1233" t="s">
        <v>421</v>
      </c>
      <c r="B1233">
        <v>5270</v>
      </c>
      <c r="C1233" s="3">
        <v>2793.59</v>
      </c>
      <c r="D1233" s="4">
        <v>44495</v>
      </c>
      <c r="E1233" t="str">
        <f>"21898"</f>
        <v>21898</v>
      </c>
      <c r="F1233" t="str">
        <f>"COLD MIX/FREIGHT/PCT#4"</f>
        <v>COLD MIX/FREIGHT/PCT#4</v>
      </c>
      <c r="G1233" s="3">
        <v>2793.59</v>
      </c>
      <c r="H1233" t="str">
        <f>"COLD MIX/FREIGHT/PCT#4"</f>
        <v>COLD MIX/FREIGHT/PCT#4</v>
      </c>
    </row>
    <row r="1234" spans="1:8" x14ac:dyDescent="0.25">
      <c r="A1234" t="s">
        <v>422</v>
      </c>
      <c r="B1234">
        <v>137328</v>
      </c>
      <c r="C1234" s="3">
        <v>537.88</v>
      </c>
      <c r="D1234" s="4">
        <v>44481</v>
      </c>
      <c r="E1234" t="str">
        <f>"0129512-2161-8"</f>
        <v>0129512-2161-8</v>
      </c>
      <c r="F1234" t="str">
        <f>"CUST ID:2-56581-95066"</f>
        <v>CUST ID:2-56581-95066</v>
      </c>
      <c r="G1234" s="3">
        <v>537.88</v>
      </c>
      <c r="H1234" t="str">
        <f>"CUST ID:2-56581-95066"</f>
        <v>CUST ID:2-56581-95066</v>
      </c>
    </row>
    <row r="1235" spans="1:8" x14ac:dyDescent="0.25">
      <c r="A1235" t="s">
        <v>422</v>
      </c>
      <c r="B1235">
        <v>137568</v>
      </c>
      <c r="C1235" s="3">
        <v>8151.78</v>
      </c>
      <c r="D1235" s="4">
        <v>44494</v>
      </c>
      <c r="E1235" t="str">
        <f>"0033418-2161-3"</f>
        <v>0033418-2161-3</v>
      </c>
      <c r="F1235" t="str">
        <f>"CUST ID:2-57060-55062/PCT#4"</f>
        <v>CUST ID:2-57060-55062/PCT#4</v>
      </c>
      <c r="G1235" s="3">
        <v>7304.78</v>
      </c>
      <c r="H1235" t="str">
        <f>"CUST ID:2-57060-55062/PCT#4"</f>
        <v>CUST ID:2-57060-55062/PCT#4</v>
      </c>
    </row>
    <row r="1236" spans="1:8" x14ac:dyDescent="0.25">
      <c r="E1236" t="str">
        <f>"6720522-2161-7"</f>
        <v>6720522-2161-7</v>
      </c>
      <c r="F1236" t="str">
        <f>"CUST ID:23-90244-23005/PCT#4"</f>
        <v>CUST ID:23-90244-23005/PCT#4</v>
      </c>
      <c r="G1236" s="3">
        <v>847</v>
      </c>
      <c r="H1236" t="str">
        <f>"CUST ID:23-90244-23005/PCT#4"</f>
        <v>CUST ID:23-90244-23005/PCT#4</v>
      </c>
    </row>
    <row r="1237" spans="1:8" x14ac:dyDescent="0.25">
      <c r="A1237" t="s">
        <v>423</v>
      </c>
      <c r="B1237">
        <v>137569</v>
      </c>
      <c r="C1237" s="3">
        <v>4643</v>
      </c>
      <c r="D1237" s="4">
        <v>44494</v>
      </c>
      <c r="E1237" t="str">
        <f>"202110196636"</f>
        <v>202110196636</v>
      </c>
      <c r="F1237" t="str">
        <f>"WEI-ANN LIN (REIMBURSEMENTS ON"</f>
        <v>WEI-ANN LIN (REIMBURSEMENTS ON</v>
      </c>
      <c r="G1237" s="3">
        <v>25</v>
      </c>
      <c r="H1237" t="str">
        <f>""</f>
        <v/>
      </c>
    </row>
    <row r="1238" spans="1:8" x14ac:dyDescent="0.25">
      <c r="E1238" t="str">
        <f>""</f>
        <v/>
      </c>
      <c r="F1238" t="str">
        <f>""</f>
        <v/>
      </c>
      <c r="G1238" s="3">
        <v>25</v>
      </c>
      <c r="H1238" t="str">
        <f>""</f>
        <v/>
      </c>
    </row>
    <row r="1239" spans="1:8" x14ac:dyDescent="0.25">
      <c r="E1239" t="str">
        <f>"202110206641"</f>
        <v>202110206641</v>
      </c>
      <c r="F1239" t="str">
        <f>"WEI-ANN LIN (REIMBURSEMENTS ON"</f>
        <v>WEI-ANN LIN (REIMBURSEMENTS ON</v>
      </c>
      <c r="G1239" s="3">
        <v>50</v>
      </c>
      <c r="H1239" t="str">
        <f>"REIMBURSEMENT"</f>
        <v>REIMBURSEMENT</v>
      </c>
    </row>
    <row r="1240" spans="1:8" x14ac:dyDescent="0.25">
      <c r="E1240" t="str">
        <f>"202110206650"</f>
        <v>202110206650</v>
      </c>
      <c r="F1240" t="str">
        <f>"MEDICAL LIABILITY TRUST"</f>
        <v>MEDICAL LIABILITY TRUST</v>
      </c>
      <c r="G1240" s="3">
        <v>4543</v>
      </c>
      <c r="H1240" t="str">
        <f>"MEDICAL LIABILITY TRUST"</f>
        <v>MEDICAL LIABILITY TRUST</v>
      </c>
    </row>
    <row r="1241" spans="1:8" x14ac:dyDescent="0.25">
      <c r="A1241" t="s">
        <v>424</v>
      </c>
      <c r="B1241">
        <v>137570</v>
      </c>
      <c r="C1241" s="3">
        <v>2000</v>
      </c>
      <c r="D1241" s="4">
        <v>44494</v>
      </c>
      <c r="E1241" t="str">
        <f>"2015122"</f>
        <v>2015122</v>
      </c>
      <c r="F1241" t="str">
        <f>"ESCROW AGENT FEE/ACCEPTANCE FE"</f>
        <v>ESCROW AGENT FEE/ACCEPTANCE FE</v>
      </c>
      <c r="G1241" s="3">
        <v>2000</v>
      </c>
      <c r="H1241" t="str">
        <f>"ESCROW AGENT FEE/ACCEPTANCE FE"</f>
        <v>ESCROW AGENT FEE/ACCEPTANCE FE</v>
      </c>
    </row>
    <row r="1242" spans="1:8" x14ac:dyDescent="0.25">
      <c r="A1242" t="s">
        <v>425</v>
      </c>
      <c r="B1242">
        <v>137329</v>
      </c>
      <c r="C1242" s="3">
        <v>242.56</v>
      </c>
      <c r="D1242" s="4">
        <v>44481</v>
      </c>
      <c r="E1242" t="str">
        <f>"21098"</f>
        <v>21098</v>
      </c>
      <c r="F1242" t="str">
        <f>"CASE#1110-335"</f>
        <v>CASE#1110-335</v>
      </c>
      <c r="G1242" s="3">
        <v>242.56</v>
      </c>
      <c r="H1242" t="str">
        <f>"CASE#1110-335"</f>
        <v>CASE#1110-335</v>
      </c>
    </row>
    <row r="1243" spans="1:8" x14ac:dyDescent="0.25">
      <c r="A1243" t="s">
        <v>426</v>
      </c>
      <c r="B1243">
        <v>5274</v>
      </c>
      <c r="C1243" s="3">
        <v>12786.08</v>
      </c>
      <c r="D1243" s="4">
        <v>44495</v>
      </c>
      <c r="E1243" t="str">
        <f>"29134"</f>
        <v>29134</v>
      </c>
      <c r="F1243" t="str">
        <f>"INV 29134"</f>
        <v>INV 29134</v>
      </c>
      <c r="G1243" s="3">
        <v>12786.08</v>
      </c>
      <c r="H1243" t="str">
        <f>"INV 29134"</f>
        <v>INV 29134</v>
      </c>
    </row>
    <row r="1244" spans="1:8" x14ac:dyDescent="0.25">
      <c r="A1244" t="s">
        <v>427</v>
      </c>
      <c r="B1244">
        <v>137571</v>
      </c>
      <c r="C1244" s="3">
        <v>140</v>
      </c>
      <c r="D1244" s="4">
        <v>44494</v>
      </c>
      <c r="E1244" t="str">
        <f>"13373"</f>
        <v>13373</v>
      </c>
      <c r="F1244" t="str">
        <f>"SERVICE"</f>
        <v>SERVICE</v>
      </c>
      <c r="G1244" s="3">
        <v>140</v>
      </c>
      <c r="H1244" t="str">
        <f>"SERVICE"</f>
        <v>SERVICE</v>
      </c>
    </row>
    <row r="1245" spans="1:8" x14ac:dyDescent="0.25">
      <c r="A1245" t="s">
        <v>428</v>
      </c>
      <c r="B1245">
        <v>137572</v>
      </c>
      <c r="C1245" s="3">
        <v>520.78</v>
      </c>
      <c r="D1245" s="4">
        <v>44494</v>
      </c>
      <c r="E1245" t="str">
        <f>"6988314"</f>
        <v>6988314</v>
      </c>
      <c r="F1245" t="str">
        <f>"CUST#339435/PCT#3"</f>
        <v>CUST#339435/PCT#3</v>
      </c>
      <c r="G1245" s="3">
        <v>510.65</v>
      </c>
      <c r="H1245" t="str">
        <f>"CUST#339435/PCT#3"</f>
        <v>CUST#339435/PCT#3</v>
      </c>
    </row>
    <row r="1246" spans="1:8" x14ac:dyDescent="0.25">
      <c r="E1246" t="str">
        <f>"6991199"</f>
        <v>6991199</v>
      </c>
      <c r="F1246" t="str">
        <f>"CUST#339435/PCT#3"</f>
        <v>CUST#339435/PCT#3</v>
      </c>
      <c r="G1246" s="3">
        <v>10.130000000000001</v>
      </c>
      <c r="H1246" t="str">
        <f>"CUST#339435/PCT#3"</f>
        <v>CUST#339435/PCT#3</v>
      </c>
    </row>
    <row r="1247" spans="1:8" x14ac:dyDescent="0.25">
      <c r="A1247" t="s">
        <v>429</v>
      </c>
      <c r="B1247">
        <v>137573</v>
      </c>
      <c r="C1247" s="3">
        <v>50000</v>
      </c>
      <c r="D1247" s="4">
        <v>44494</v>
      </c>
      <c r="E1247" t="str">
        <f>"1588"</f>
        <v>1588</v>
      </c>
      <c r="F1247" t="str">
        <f>"RFB 21BCP09A - GOTIER TRACE/P2"</f>
        <v>RFB 21BCP09A - GOTIER TRACE/P2</v>
      </c>
      <c r="G1247" s="3">
        <v>50000</v>
      </c>
      <c r="H1247" t="str">
        <f>"RFB 21BCP09A - GOTIER TRACE/P2"</f>
        <v>RFB 21BCP09A - GOTIER TRACE/P2</v>
      </c>
    </row>
    <row r="1248" spans="1:8" x14ac:dyDescent="0.25">
      <c r="A1248" t="s">
        <v>430</v>
      </c>
      <c r="B1248">
        <v>137574</v>
      </c>
      <c r="C1248" s="3">
        <v>370</v>
      </c>
      <c r="D1248" s="4">
        <v>44494</v>
      </c>
      <c r="E1248" t="str">
        <f>"202110146449"</f>
        <v>202110146449</v>
      </c>
      <c r="F1248" t="str">
        <f>"0013831"</f>
        <v>0013831</v>
      </c>
      <c r="G1248" s="3">
        <v>370</v>
      </c>
      <c r="H1248" t="str">
        <f>"0013831"</f>
        <v>0013831</v>
      </c>
    </row>
    <row r="1249" spans="1:8" x14ac:dyDescent="0.25">
      <c r="A1249" t="s">
        <v>431</v>
      </c>
      <c r="B1249">
        <v>137330</v>
      </c>
      <c r="C1249" s="3">
        <v>25</v>
      </c>
      <c r="D1249" s="4">
        <v>44481</v>
      </c>
      <c r="E1249" t="s">
        <v>90</v>
      </c>
      <c r="F1249" s="3" t="str">
        <f>"RESTITUTION - MARCUS MANZANARE"</f>
        <v>RESTITUTION - MARCUS MANZANARE</v>
      </c>
      <c r="G1249" s="3">
        <v>25</v>
      </c>
      <c r="H1249" s="3" t="str">
        <f>"RESTITUTION - MARCUS MANZANARE"</f>
        <v>RESTITUTION - MARCUS MANZANARE</v>
      </c>
    </row>
    <row r="1250" spans="1:8" x14ac:dyDescent="0.25">
      <c r="A1250" t="s">
        <v>432</v>
      </c>
      <c r="B1250">
        <v>137331</v>
      </c>
      <c r="C1250" s="3">
        <v>2822.4</v>
      </c>
      <c r="D1250" s="4">
        <v>44481</v>
      </c>
      <c r="E1250" t="str">
        <f>"9014380549"</f>
        <v>9014380549</v>
      </c>
      <c r="F1250" t="str">
        <f>"CUST#1000113183/ANIMAL SHELTER"</f>
        <v>CUST#1000113183/ANIMAL SHELTER</v>
      </c>
      <c r="G1250" s="3">
        <v>2342</v>
      </c>
      <c r="H1250" t="str">
        <f>"CUST#1000113183/ANIMAL SHELTER"</f>
        <v>CUST#1000113183/ANIMAL SHELTER</v>
      </c>
    </row>
    <row r="1251" spans="1:8" x14ac:dyDescent="0.25">
      <c r="E1251" t="str">
        <f>"9014420638"</f>
        <v>9014420638</v>
      </c>
      <c r="F1251" t="str">
        <f>"CUST#1000113183/ANIMAL SVCS"</f>
        <v>CUST#1000113183/ANIMAL SVCS</v>
      </c>
      <c r="G1251" s="3">
        <v>480.4</v>
      </c>
      <c r="H1251" t="str">
        <f t="shared" ref="H1251:H1259" si="16">"CUST#1000113183/ANIMAL SVCS"</f>
        <v>CUST#1000113183/ANIMAL SVCS</v>
      </c>
    </row>
    <row r="1252" spans="1:8" x14ac:dyDescent="0.25">
      <c r="A1252" t="s">
        <v>432</v>
      </c>
      <c r="B1252">
        <v>137575</v>
      </c>
      <c r="C1252" s="3">
        <v>3951.86</v>
      </c>
      <c r="D1252" s="4">
        <v>44494</v>
      </c>
      <c r="E1252" t="str">
        <f>"9014436616"</f>
        <v>9014436616</v>
      </c>
      <c r="F1252" t="str">
        <f>"CUST#1000113183/ANIMAL SVCS"</f>
        <v>CUST#1000113183/ANIMAL SVCS</v>
      </c>
      <c r="G1252" s="3">
        <v>786.8</v>
      </c>
      <c r="H1252" t="str">
        <f t="shared" si="16"/>
        <v>CUST#1000113183/ANIMAL SVCS</v>
      </c>
    </row>
    <row r="1253" spans="1:8" x14ac:dyDescent="0.25">
      <c r="E1253" t="str">
        <f>""</f>
        <v/>
      </c>
      <c r="F1253" t="str">
        <f>""</f>
        <v/>
      </c>
      <c r="G1253" s="3">
        <v>144.16</v>
      </c>
      <c r="H1253" t="str">
        <f t="shared" si="16"/>
        <v>CUST#1000113183/ANIMAL SVCS</v>
      </c>
    </row>
    <row r="1254" spans="1:8" x14ac:dyDescent="0.25">
      <c r="E1254" t="str">
        <f>"9014477958"</f>
        <v>9014477958</v>
      </c>
      <c r="F1254" t="str">
        <f t="shared" ref="F1254:F1259" si="17">"CUST#1000113183/ANIMAL SVCS"</f>
        <v>CUST#1000113183/ANIMAL SVCS</v>
      </c>
      <c r="G1254" s="3">
        <v>535.20000000000005</v>
      </c>
      <c r="H1254" t="str">
        <f t="shared" si="16"/>
        <v>CUST#1000113183/ANIMAL SVCS</v>
      </c>
    </row>
    <row r="1255" spans="1:8" x14ac:dyDescent="0.25">
      <c r="E1255" t="str">
        <f>"9014523765"</f>
        <v>9014523765</v>
      </c>
      <c r="F1255" t="str">
        <f t="shared" si="17"/>
        <v>CUST#1000113183/ANIMAL SVCS</v>
      </c>
      <c r="G1255" s="3">
        <v>731.6</v>
      </c>
      <c r="H1255" t="str">
        <f t="shared" si="16"/>
        <v>CUST#1000113183/ANIMAL SVCS</v>
      </c>
    </row>
    <row r="1256" spans="1:8" x14ac:dyDescent="0.25">
      <c r="E1256" t="str">
        <f>"9014540432"</f>
        <v>9014540432</v>
      </c>
      <c r="F1256" t="str">
        <f t="shared" si="17"/>
        <v>CUST#1000113183/ANIMAL SVCS</v>
      </c>
      <c r="G1256" s="3">
        <v>300</v>
      </c>
      <c r="H1256" t="str">
        <f t="shared" si="16"/>
        <v>CUST#1000113183/ANIMAL SVCS</v>
      </c>
    </row>
    <row r="1257" spans="1:8" x14ac:dyDescent="0.25">
      <c r="E1257" t="str">
        <f>"9014540486"</f>
        <v>9014540486</v>
      </c>
      <c r="F1257" t="str">
        <f t="shared" si="17"/>
        <v>CUST#1000113183/ANIMAL SVCS</v>
      </c>
      <c r="G1257" s="3">
        <v>792</v>
      </c>
      <c r="H1257" t="str">
        <f t="shared" si="16"/>
        <v>CUST#1000113183/ANIMAL SVCS</v>
      </c>
    </row>
    <row r="1258" spans="1:8" x14ac:dyDescent="0.25">
      <c r="E1258" t="str">
        <f>"9014575044"</f>
        <v>9014575044</v>
      </c>
      <c r="F1258" t="str">
        <f t="shared" si="17"/>
        <v>CUST#1000113183/ANIMAL SVCS</v>
      </c>
      <c r="G1258" s="3">
        <v>121.5</v>
      </c>
      <c r="H1258" t="str">
        <f t="shared" si="16"/>
        <v>CUST#1000113183/ANIMAL SVCS</v>
      </c>
    </row>
    <row r="1259" spans="1:8" x14ac:dyDescent="0.25">
      <c r="E1259" t="str">
        <f>"9014585696"</f>
        <v>9014585696</v>
      </c>
      <c r="F1259" t="str">
        <f t="shared" si="17"/>
        <v>CUST#1000113183/ANIMAL SVCS</v>
      </c>
      <c r="G1259" s="3">
        <v>540.6</v>
      </c>
      <c r="H1259" t="str">
        <f t="shared" si="16"/>
        <v>CUST#1000113183/ANIMAL SVCS</v>
      </c>
    </row>
    <row r="1260" spans="1:8" x14ac:dyDescent="0.25">
      <c r="A1260" t="s">
        <v>433</v>
      </c>
      <c r="B1260">
        <v>137576</v>
      </c>
      <c r="C1260" s="3">
        <v>5613</v>
      </c>
      <c r="D1260" s="4">
        <v>44494</v>
      </c>
      <c r="E1260" t="str">
        <f>"85411.04SA/.05SA"</f>
        <v>85411.04SA/.05SA</v>
      </c>
      <c r="F1260" t="str">
        <f>"Renewal"</f>
        <v>Renewal</v>
      </c>
      <c r="G1260" s="3">
        <v>1818</v>
      </c>
      <c r="H1260" t="str">
        <f>"85411.04SA"</f>
        <v>85411.04SA</v>
      </c>
    </row>
    <row r="1261" spans="1:8" x14ac:dyDescent="0.25">
      <c r="E1261" t="str">
        <f>""</f>
        <v/>
      </c>
      <c r="F1261" t="str">
        <f>""</f>
        <v/>
      </c>
      <c r="G1261" s="3">
        <v>3795</v>
      </c>
      <c r="H1261" t="str">
        <f>"85401.05SA"</f>
        <v>85401.05SA</v>
      </c>
    </row>
    <row r="1262" spans="1:8" x14ac:dyDescent="0.25">
      <c r="A1262" t="s">
        <v>434</v>
      </c>
      <c r="B1262">
        <v>5244</v>
      </c>
      <c r="C1262" s="3">
        <v>47750</v>
      </c>
      <c r="D1262" s="4">
        <v>44482</v>
      </c>
      <c r="E1262" t="str">
        <f>"21BCP03C"</f>
        <v>21BCP03C</v>
      </c>
      <c r="F1262" t="str">
        <f>"21BCP03C"</f>
        <v>21BCP03C</v>
      </c>
      <c r="G1262" s="3">
        <v>43492.5</v>
      </c>
      <c r="H1262" t="str">
        <f>"Pay App 1.2"</f>
        <v>Pay App 1.2</v>
      </c>
    </row>
    <row r="1263" spans="1:8" x14ac:dyDescent="0.25">
      <c r="E1263" t="str">
        <f>""</f>
        <v/>
      </c>
      <c r="F1263" t="str">
        <f>""</f>
        <v/>
      </c>
      <c r="G1263" s="3">
        <v>4257.5</v>
      </c>
      <c r="H1263" t="str">
        <f>"Pay App 2"</f>
        <v>Pay App 2</v>
      </c>
    </row>
    <row r="1264" spans="1:8" x14ac:dyDescent="0.25">
      <c r="A1264" t="s">
        <v>435</v>
      </c>
      <c r="B1264">
        <v>137332</v>
      </c>
      <c r="C1264" s="3">
        <v>348.48</v>
      </c>
      <c r="D1264" s="4">
        <v>44481</v>
      </c>
      <c r="E1264" t="str">
        <f>"442753"</f>
        <v>442753</v>
      </c>
      <c r="F1264" t="str">
        <f>"CUST#16500/PCT#4"</f>
        <v>CUST#16500/PCT#4</v>
      </c>
      <c r="G1264" s="3">
        <v>348.48</v>
      </c>
      <c r="H1264" t="str">
        <f>"CUST#16500/PCT#4"</f>
        <v>CUST#16500/PCT#4</v>
      </c>
    </row>
    <row r="1265" spans="1:8" x14ac:dyDescent="0.25">
      <c r="A1265" t="s">
        <v>22</v>
      </c>
      <c r="B1265">
        <v>137333</v>
      </c>
      <c r="C1265" s="3">
        <v>80.489999999999995</v>
      </c>
      <c r="D1265" s="4">
        <v>44481</v>
      </c>
      <c r="E1265" t="str">
        <f>"202110056072"</f>
        <v>202110056072</v>
      </c>
      <c r="F1265" t="str">
        <f>"ACCT#015397/JUVENILE BOOTCAMP"</f>
        <v>ACCT#015397/JUVENILE BOOTCAMP</v>
      </c>
      <c r="G1265" s="3">
        <v>80.489999999999995</v>
      </c>
      <c r="H1265" t="str">
        <f>"ACCT#015397/JUVENILE BOOTCAMP"</f>
        <v>ACCT#015397/JUVENILE BOOTCAMP</v>
      </c>
    </row>
    <row r="1266" spans="1:8" x14ac:dyDescent="0.25">
      <c r="A1266" t="s">
        <v>37</v>
      </c>
      <c r="B1266">
        <v>5324</v>
      </c>
      <c r="C1266" s="3">
        <v>204.5</v>
      </c>
      <c r="D1266" s="4">
        <v>44495</v>
      </c>
      <c r="E1266" t="str">
        <f>"202110186574"</f>
        <v>202110186574</v>
      </c>
      <c r="F1266" t="str">
        <f>"ACCT#BC01/OFFICE SUPPLOES"</f>
        <v>ACCT#BC01/OFFICE SUPPLOES</v>
      </c>
      <c r="G1266" s="3">
        <v>204.5</v>
      </c>
      <c r="H1266" t="str">
        <f>"ACCT#BC01/OFFICE SUPPLOES"</f>
        <v>ACCT#BC01/OFFICE SUPPLOES</v>
      </c>
    </row>
    <row r="1267" spans="1:8" x14ac:dyDescent="0.25">
      <c r="A1267" t="s">
        <v>436</v>
      </c>
      <c r="B1267">
        <v>137577</v>
      </c>
      <c r="C1267" s="3">
        <v>20908.98</v>
      </c>
      <c r="D1267" s="4">
        <v>44494</v>
      </c>
      <c r="E1267" t="str">
        <f>"202110156568"</f>
        <v>202110156568</v>
      </c>
      <c r="F1267" t="str">
        <f>"BOOT CAMP EXPENSES 4TH QTR 21"</f>
        <v>BOOT CAMP EXPENSES 4TH QTR 21</v>
      </c>
      <c r="G1267" s="3">
        <v>20908.98</v>
      </c>
      <c r="H1267" t="str">
        <f>"BOOT CAMP EXPENSES 4TH QTR 21"</f>
        <v>BOOT CAMP EXPENSES 4TH QTR 21</v>
      </c>
    </row>
    <row r="1268" spans="1:8" x14ac:dyDescent="0.25">
      <c r="A1268" t="s">
        <v>437</v>
      </c>
      <c r="B1268">
        <v>137578</v>
      </c>
      <c r="C1268" s="3">
        <v>1900</v>
      </c>
      <c r="D1268" s="4">
        <v>44494</v>
      </c>
      <c r="E1268" t="str">
        <f>"21-8053.2"</f>
        <v>21-8053.2</v>
      </c>
      <c r="F1268" t="str">
        <f>"Remainder"</f>
        <v>Remainder</v>
      </c>
      <c r="G1268" s="3">
        <v>1900</v>
      </c>
      <c r="H1268" t="str">
        <f>"Remainder"</f>
        <v>Remainder</v>
      </c>
    </row>
    <row r="1269" spans="1:8" x14ac:dyDescent="0.25">
      <c r="A1269" t="s">
        <v>46</v>
      </c>
      <c r="B1269">
        <v>137334</v>
      </c>
      <c r="C1269" s="3">
        <v>4357.9799999999996</v>
      </c>
      <c r="D1269" s="4">
        <v>44481</v>
      </c>
      <c r="E1269" t="str">
        <f>"51279464"</f>
        <v>51279464</v>
      </c>
      <c r="F1269" t="str">
        <f>"CUST#C27986/PCT#4"</f>
        <v>CUST#C27986/PCT#4</v>
      </c>
      <c r="G1269" s="3">
        <v>3820.95</v>
      </c>
      <c r="H1269" t="str">
        <f>"CUST#C27986/PCT#4"</f>
        <v>CUST#C27986/PCT#4</v>
      </c>
    </row>
    <row r="1270" spans="1:8" x14ac:dyDescent="0.25">
      <c r="E1270" t="str">
        <f>"S1279464 -1"</f>
        <v>S1279464 -1</v>
      </c>
      <c r="F1270" t="str">
        <f>"CUST#C27986/PCT#4"</f>
        <v>CUST#C27986/PCT#4</v>
      </c>
      <c r="G1270" s="3">
        <v>537.03</v>
      </c>
      <c r="H1270" t="str">
        <f>"CUST#C27986/PCT#4"</f>
        <v>CUST#C27986/PCT#4</v>
      </c>
    </row>
    <row r="1271" spans="1:8" x14ac:dyDescent="0.25">
      <c r="A1271" t="s">
        <v>438</v>
      </c>
      <c r="B1271">
        <v>137335</v>
      </c>
      <c r="C1271" s="3">
        <v>690</v>
      </c>
      <c r="D1271" s="4">
        <v>44481</v>
      </c>
      <c r="E1271" t="str">
        <f>"1450"</f>
        <v>1450</v>
      </c>
      <c r="F1271" t="str">
        <f>"TITLE OPINION"</f>
        <v>TITLE OPINION</v>
      </c>
      <c r="G1271" s="3">
        <v>690</v>
      </c>
      <c r="H1271" t="str">
        <f>"TITLE OPINION"</f>
        <v>TITLE OPINION</v>
      </c>
    </row>
    <row r="1272" spans="1:8" x14ac:dyDescent="0.25">
      <c r="A1272" t="s">
        <v>58</v>
      </c>
      <c r="B1272">
        <v>137336</v>
      </c>
      <c r="C1272" s="3">
        <v>49157.8</v>
      </c>
      <c r="D1272" s="4">
        <v>44481</v>
      </c>
      <c r="E1272" t="str">
        <f>"127098"</f>
        <v>127098</v>
      </c>
      <c r="F1272" t="str">
        <f>"ACCT#1268/PCT#3"</f>
        <v>ACCT#1268/PCT#3</v>
      </c>
      <c r="G1272" s="3">
        <v>100.6</v>
      </c>
      <c r="H1272" t="str">
        <f>"ACCT#1268/PCT#3"</f>
        <v>ACCT#1268/PCT#3</v>
      </c>
    </row>
    <row r="1273" spans="1:8" x14ac:dyDescent="0.25">
      <c r="E1273" t="str">
        <f>"127624"</f>
        <v>127624</v>
      </c>
      <c r="F1273" t="str">
        <f>"ACCT#1268/PCT#3"</f>
        <v>ACCT#1268/PCT#3</v>
      </c>
      <c r="G1273" s="3">
        <v>14029.8</v>
      </c>
      <c r="H1273" t="str">
        <f>"ACCT#1268/PCT#3"</f>
        <v>ACCT#1268/PCT#3</v>
      </c>
    </row>
    <row r="1274" spans="1:8" x14ac:dyDescent="0.25">
      <c r="E1274" t="str">
        <f>"127847"</f>
        <v>127847</v>
      </c>
      <c r="F1274" t="str">
        <f>"ACCT#1268/PCT#3"</f>
        <v>ACCT#1268/PCT#3</v>
      </c>
      <c r="G1274" s="3">
        <v>35027.4</v>
      </c>
      <c r="H1274" t="str">
        <f>"ACCT#1268/PCT#3"</f>
        <v>ACCT#1268/PCT#3</v>
      </c>
    </row>
    <row r="1275" spans="1:8" x14ac:dyDescent="0.25">
      <c r="A1275" t="s">
        <v>68</v>
      </c>
      <c r="B1275">
        <v>5325</v>
      </c>
      <c r="C1275" s="3">
        <v>189.52</v>
      </c>
      <c r="D1275" s="4">
        <v>44495</v>
      </c>
      <c r="E1275" t="str">
        <f>"774472"</f>
        <v>774472</v>
      </c>
      <c r="F1275" t="str">
        <f>"Bootcamp"</f>
        <v>Bootcamp</v>
      </c>
      <c r="G1275" s="3">
        <v>189.52</v>
      </c>
      <c r="H1275" t="str">
        <f>"774472"</f>
        <v>774472</v>
      </c>
    </row>
    <row r="1276" spans="1:8" x14ac:dyDescent="0.25">
      <c r="A1276" t="s">
        <v>75</v>
      </c>
      <c r="B1276">
        <v>137579</v>
      </c>
      <c r="C1276" s="3">
        <v>1450.46</v>
      </c>
      <c r="D1276" s="4">
        <v>44494</v>
      </c>
      <c r="E1276" t="str">
        <f>"202110156570"</f>
        <v>202110156570</v>
      </c>
      <c r="F1276" t="str">
        <f>"PAYER#14108430/PCT#4"</f>
        <v>PAYER#14108430/PCT#4</v>
      </c>
      <c r="G1276" s="3">
        <v>1450.46</v>
      </c>
      <c r="H1276" t="str">
        <f>"PAYER#14108430/PCT#4"</f>
        <v>PAYER#14108430/PCT#4</v>
      </c>
    </row>
    <row r="1277" spans="1:8" x14ac:dyDescent="0.25">
      <c r="A1277" t="s">
        <v>439</v>
      </c>
      <c r="B1277">
        <v>137337</v>
      </c>
      <c r="C1277" s="3">
        <v>1682.88</v>
      </c>
      <c r="D1277" s="4">
        <v>44481</v>
      </c>
      <c r="E1277" t="str">
        <f>"23586843"</f>
        <v>23586843</v>
      </c>
      <c r="F1277" t="str">
        <f>"ACCT#434304/PCT#4"</f>
        <v>ACCT#434304/PCT#4</v>
      </c>
      <c r="G1277" s="3">
        <v>1682.88</v>
      </c>
      <c r="H1277" t="str">
        <f>"ACCT#434304/PCT#4"</f>
        <v>ACCT#434304/PCT#4</v>
      </c>
    </row>
    <row r="1278" spans="1:8" x14ac:dyDescent="0.25">
      <c r="A1278" t="s">
        <v>84</v>
      </c>
      <c r="B1278">
        <v>5245</v>
      </c>
      <c r="C1278" s="3">
        <v>5340</v>
      </c>
      <c r="D1278" s="4">
        <v>44482</v>
      </c>
      <c r="E1278" t="str">
        <f>"21001"</f>
        <v>21001</v>
      </c>
      <c r="F1278" t="str">
        <f>"TADS BUILD/CAMERAS"</f>
        <v>TADS BUILD/CAMERAS</v>
      </c>
      <c r="G1278" s="3">
        <v>5340</v>
      </c>
      <c r="H1278" t="str">
        <f>"TADS BUILD/CAMERAS"</f>
        <v>TADS BUILD/CAMERAS</v>
      </c>
    </row>
    <row r="1279" spans="1:8" x14ac:dyDescent="0.25">
      <c r="A1279" t="s">
        <v>440</v>
      </c>
      <c r="B1279">
        <v>137338</v>
      </c>
      <c r="C1279" s="3">
        <v>511.84</v>
      </c>
      <c r="D1279" s="4">
        <v>44481</v>
      </c>
      <c r="E1279" t="str">
        <f>"15141"</f>
        <v>15141</v>
      </c>
      <c r="F1279" t="str">
        <f>"SUPPLIES/PCT#4"</f>
        <v>SUPPLIES/PCT#4</v>
      </c>
      <c r="G1279" s="3">
        <v>511.84</v>
      </c>
      <c r="H1279" t="str">
        <f>"SUPPLIES/PCT#4"</f>
        <v>SUPPLIES/PCT#4</v>
      </c>
    </row>
    <row r="1280" spans="1:8" x14ac:dyDescent="0.25">
      <c r="A1280" t="s">
        <v>113</v>
      </c>
      <c r="B1280">
        <v>137339</v>
      </c>
      <c r="C1280" s="3">
        <v>103355.42</v>
      </c>
      <c r="D1280" s="4">
        <v>44481</v>
      </c>
      <c r="E1280" t="str">
        <f>"940256156"</f>
        <v>940256156</v>
      </c>
      <c r="F1280" t="str">
        <f>"ACCT#912923/PCT#4"</f>
        <v>ACCT#912923/PCT#4</v>
      </c>
      <c r="G1280" s="3">
        <v>4025</v>
      </c>
      <c r="H1280" t="str">
        <f>"ACCT#912923/PCT#4"</f>
        <v>ACCT#912923/PCT#4</v>
      </c>
    </row>
    <row r="1281" spans="1:8" x14ac:dyDescent="0.25">
      <c r="E1281" t="str">
        <f>"9402562164"</f>
        <v>9402562164</v>
      </c>
      <c r="F1281" t="str">
        <f>"ACCT#912923/PCT#4"</f>
        <v>ACCT#912923/PCT#4</v>
      </c>
      <c r="G1281" s="3">
        <v>3585</v>
      </c>
      <c r="H1281" t="str">
        <f>"ACCT#912923/PCT#4"</f>
        <v>ACCT#912923/PCT#4</v>
      </c>
    </row>
    <row r="1282" spans="1:8" x14ac:dyDescent="0.25">
      <c r="E1282" t="str">
        <f>"9402563237"</f>
        <v>9402563237</v>
      </c>
      <c r="F1282" t="str">
        <f>"ACCT#912923/PCT#4"</f>
        <v>ACCT#912923/PCT#4</v>
      </c>
      <c r="G1282" s="3">
        <v>4020</v>
      </c>
      <c r="H1282" t="str">
        <f>"ACCT#912923/PCT#4"</f>
        <v>ACCT#912923/PCT#4</v>
      </c>
    </row>
    <row r="1283" spans="1:8" x14ac:dyDescent="0.25">
      <c r="E1283" t="str">
        <f>"9402564060"</f>
        <v>9402564060</v>
      </c>
      <c r="F1283" t="str">
        <f>"ACCT#912897/PCT#3"</f>
        <v>ACCT#912897/PCT#3</v>
      </c>
      <c r="G1283" s="3">
        <v>15182.37</v>
      </c>
      <c r="H1283" t="str">
        <f>"ACCT#912897/PCT#3"</f>
        <v>ACCT#912897/PCT#3</v>
      </c>
    </row>
    <row r="1284" spans="1:8" x14ac:dyDescent="0.25">
      <c r="E1284" t="str">
        <f>"9402564061"</f>
        <v>9402564061</v>
      </c>
      <c r="F1284" t="str">
        <f>"ACCT#912897/PCT##"</f>
        <v>ACCT#912897/PCT##</v>
      </c>
      <c r="G1284" s="3">
        <v>15730.47</v>
      </c>
      <c r="H1284" t="str">
        <f>"ACCT#912897/PCT##"</f>
        <v>ACCT#912897/PCT##</v>
      </c>
    </row>
    <row r="1285" spans="1:8" x14ac:dyDescent="0.25">
      <c r="E1285" t="str">
        <f>"9402565157"</f>
        <v>9402565157</v>
      </c>
      <c r="F1285" t="str">
        <f>"ACCT#912923/PCT#4"</f>
        <v>ACCT#912923/PCT#4</v>
      </c>
      <c r="G1285" s="3">
        <v>5875.2</v>
      </c>
      <c r="H1285" t="str">
        <f>"ACCT#912923/PCT#4"</f>
        <v>ACCT#912923/PCT#4</v>
      </c>
    </row>
    <row r="1286" spans="1:8" x14ac:dyDescent="0.25">
      <c r="E1286" t="str">
        <f>"9402565158"</f>
        <v>9402565158</v>
      </c>
      <c r="F1286" t="str">
        <f>"ACCT#912923/PCT#4"</f>
        <v>ACCT#912923/PCT#4</v>
      </c>
      <c r="G1286" s="3">
        <v>4090</v>
      </c>
      <c r="H1286" t="str">
        <f>"ACCT#912923/PCT#4"</f>
        <v>ACCT#912923/PCT#4</v>
      </c>
    </row>
    <row r="1287" spans="1:8" x14ac:dyDescent="0.25">
      <c r="E1287" t="str">
        <f>"9402566479"</f>
        <v>9402566479</v>
      </c>
      <c r="F1287" t="str">
        <f>"ACCT#912923/PCT#4"</f>
        <v>ACCT#912923/PCT#4</v>
      </c>
      <c r="G1287" s="3">
        <v>8837.7000000000007</v>
      </c>
      <c r="H1287" t="str">
        <f>"ACCT#912923/PCT#4"</f>
        <v>ACCT#912923/PCT#4</v>
      </c>
    </row>
    <row r="1288" spans="1:8" x14ac:dyDescent="0.25">
      <c r="E1288" t="str">
        <f>"9402567672"</f>
        <v>9402567672</v>
      </c>
      <c r="F1288" t="str">
        <f>"ACCT#912923/PCT#4"</f>
        <v>ACCT#912923/PCT#4</v>
      </c>
      <c r="G1288" s="3">
        <v>3958</v>
      </c>
      <c r="H1288" t="str">
        <f>"ACCT#912923/PCT#4"</f>
        <v>ACCT#912923/PCT#4</v>
      </c>
    </row>
    <row r="1289" spans="1:8" x14ac:dyDescent="0.25">
      <c r="E1289" t="str">
        <f>"9402567673"</f>
        <v>9402567673</v>
      </c>
      <c r="F1289" t="str">
        <f>"ACCT#912923/PCT#4"</f>
        <v>ACCT#912923/PCT#4</v>
      </c>
      <c r="G1289" s="3">
        <v>4070</v>
      </c>
      <c r="H1289" t="str">
        <f>"ACCT#912923/PCT#4"</f>
        <v>ACCT#912923/PCT#4</v>
      </c>
    </row>
    <row r="1290" spans="1:8" x14ac:dyDescent="0.25">
      <c r="E1290" t="str">
        <f>"9402568066"</f>
        <v>9402568066</v>
      </c>
      <c r="F1290" t="str">
        <f>"ACCT#912922/PCT#1"</f>
        <v>ACCT#912922/PCT#1</v>
      </c>
      <c r="G1290" s="3">
        <v>4030</v>
      </c>
      <c r="H1290" t="str">
        <f>"ACCT#912922/PCT#1"</f>
        <v>ACCT#912922/PCT#1</v>
      </c>
    </row>
    <row r="1291" spans="1:8" x14ac:dyDescent="0.25">
      <c r="E1291" t="str">
        <f>"9402568215"</f>
        <v>9402568215</v>
      </c>
      <c r="F1291" t="str">
        <f>"ACCT#912922/PCT#1"</f>
        <v>ACCT#912922/PCT#1</v>
      </c>
      <c r="G1291" s="3">
        <v>12997.56</v>
      </c>
      <c r="H1291" t="str">
        <f>"ACCT#912922/PCT#1"</f>
        <v>ACCT#912922/PCT#1</v>
      </c>
    </row>
    <row r="1292" spans="1:8" x14ac:dyDescent="0.25">
      <c r="E1292" t="str">
        <f>"9402568216"</f>
        <v>9402568216</v>
      </c>
      <c r="F1292" t="str">
        <f>"ACCT#912923/PCT#4"</f>
        <v>ACCT#912923/PCT#4</v>
      </c>
      <c r="G1292" s="3">
        <v>4450.5</v>
      </c>
      <c r="H1292" t="str">
        <f>"ACCT#912923/PCT#4"</f>
        <v>ACCT#912923/PCT#4</v>
      </c>
    </row>
    <row r="1293" spans="1:8" x14ac:dyDescent="0.25">
      <c r="E1293" t="str">
        <f>"9402569084"</f>
        <v>9402569084</v>
      </c>
      <c r="F1293" t="str">
        <f>"ACCT#912923/PCT#4"</f>
        <v>ACCT#912923/PCT#4</v>
      </c>
      <c r="G1293" s="3">
        <v>8773.6200000000008</v>
      </c>
      <c r="H1293" t="str">
        <f>"ACCT#912923/PCT#4"</f>
        <v>ACCT#912923/PCT#4</v>
      </c>
    </row>
    <row r="1294" spans="1:8" x14ac:dyDescent="0.25">
      <c r="E1294" t="str">
        <f>"9402570201"</f>
        <v>9402570201</v>
      </c>
      <c r="F1294" t="str">
        <f>"ACCT#912923/PCT#4"</f>
        <v>ACCT#912923/PCT#4</v>
      </c>
      <c r="G1294" s="3">
        <v>3730</v>
      </c>
      <c r="H1294" t="str">
        <f>"ACCT#912923/PCT#4"</f>
        <v>ACCT#912923/PCT#4</v>
      </c>
    </row>
    <row r="1295" spans="1:8" x14ac:dyDescent="0.25">
      <c r="A1295" t="s">
        <v>441</v>
      </c>
      <c r="B1295">
        <v>137580</v>
      </c>
      <c r="C1295" s="3">
        <v>20520</v>
      </c>
      <c r="D1295" s="4">
        <v>44494</v>
      </c>
      <c r="E1295" t="str">
        <f>"113836"</f>
        <v>113836</v>
      </c>
      <c r="F1295" t="str">
        <f>"HAZARD MITIGATION THRU 09/30"</f>
        <v>HAZARD MITIGATION THRU 09/30</v>
      </c>
      <c r="G1295" s="3">
        <v>20520</v>
      </c>
      <c r="H1295" t="str">
        <f>"HAZARD MITIGATION THRU 09/30"</f>
        <v>HAZARD MITIGATION THRU 09/30</v>
      </c>
    </row>
    <row r="1296" spans="1:8" x14ac:dyDescent="0.25">
      <c r="A1296" t="s">
        <v>140</v>
      </c>
      <c r="B1296">
        <v>137340</v>
      </c>
      <c r="C1296" s="3">
        <v>53.73</v>
      </c>
      <c r="D1296" s="4">
        <v>44481</v>
      </c>
      <c r="E1296" t="str">
        <f>"9114033"</f>
        <v>9114033</v>
      </c>
      <c r="F1296" t="str">
        <f>"Statement 02"</f>
        <v>Statement 02</v>
      </c>
      <c r="G1296" s="3">
        <v>53.73</v>
      </c>
      <c r="H1296" t="str">
        <f>"9114033"</f>
        <v>9114033</v>
      </c>
    </row>
    <row r="1297" spans="1:8" x14ac:dyDescent="0.25">
      <c r="A1297" t="s">
        <v>176</v>
      </c>
      <c r="B1297">
        <v>137581</v>
      </c>
      <c r="C1297" s="3">
        <v>526</v>
      </c>
      <c r="D1297" s="4">
        <v>44494</v>
      </c>
      <c r="E1297" t="str">
        <f>"202110156569"</f>
        <v>202110156569</v>
      </c>
      <c r="F1297" t="str">
        <f>"TIRE SVCS/PCT#4"</f>
        <v>TIRE SVCS/PCT#4</v>
      </c>
      <c r="G1297" s="3">
        <v>526</v>
      </c>
      <c r="H1297" t="str">
        <f>"TIRE SVCS/PCT#4"</f>
        <v>TIRE SVCS/PCT#4</v>
      </c>
    </row>
    <row r="1298" spans="1:8" x14ac:dyDescent="0.25">
      <c r="A1298" t="s">
        <v>442</v>
      </c>
      <c r="B1298">
        <v>137341</v>
      </c>
      <c r="C1298" s="3">
        <v>1011.36</v>
      </c>
      <c r="D1298" s="4">
        <v>44481</v>
      </c>
      <c r="E1298" t="str">
        <f>"21-008-2"</f>
        <v>21-008-2</v>
      </c>
      <c r="F1298" t="str">
        <f>"Mike Fisher"</f>
        <v>Mike Fisher</v>
      </c>
      <c r="G1298" s="3">
        <v>1011.36</v>
      </c>
      <c r="H1298" t="str">
        <f>"INV 21-2008-2"</f>
        <v>INV 21-2008-2</v>
      </c>
    </row>
    <row r="1299" spans="1:8" x14ac:dyDescent="0.25">
      <c r="A1299" t="s">
        <v>443</v>
      </c>
      <c r="B1299">
        <v>5323</v>
      </c>
      <c r="C1299" s="3">
        <v>19557.13</v>
      </c>
      <c r="D1299" s="4">
        <v>44495</v>
      </c>
      <c r="E1299" t="str">
        <f>"65515-2"</f>
        <v>65515-2</v>
      </c>
      <c r="F1299" t="str">
        <f>"ASPHALT STREET OVERLAY"</f>
        <v>ASPHALT STREET OVERLAY</v>
      </c>
      <c r="G1299" s="3">
        <v>19557.13</v>
      </c>
      <c r="H1299" t="str">
        <f>"ASPHALT STREET OVERLAY"</f>
        <v>ASPHALT STREET OVERLAY</v>
      </c>
    </row>
    <row r="1300" spans="1:8" x14ac:dyDescent="0.25">
      <c r="A1300" t="s">
        <v>195</v>
      </c>
      <c r="B1300">
        <v>5248</v>
      </c>
      <c r="C1300" s="3">
        <v>28.85</v>
      </c>
      <c r="D1300" s="4">
        <v>44482</v>
      </c>
      <c r="E1300" t="str">
        <f>"613033"</f>
        <v>613033</v>
      </c>
      <c r="F1300" t="str">
        <f>"ACCT#0900-98011130-001"</f>
        <v>ACCT#0900-98011130-001</v>
      </c>
      <c r="G1300" s="3">
        <v>28.85</v>
      </c>
      <c r="H1300" t="str">
        <f>"ACCT#0900-98011130-001"</f>
        <v>ACCT#0900-98011130-001</v>
      </c>
    </row>
    <row r="1301" spans="1:8" x14ac:dyDescent="0.25">
      <c r="A1301" t="s">
        <v>297</v>
      </c>
      <c r="B1301">
        <v>5249</v>
      </c>
      <c r="C1301" s="3">
        <v>77.98</v>
      </c>
      <c r="D1301" s="4">
        <v>44482</v>
      </c>
      <c r="E1301" t="str">
        <f>"202110066109"</f>
        <v>202110066109</v>
      </c>
      <c r="F1301" t="str">
        <f>"ACCT#99088/PCT#4"</f>
        <v>ACCT#99088/PCT#4</v>
      </c>
      <c r="G1301" s="3">
        <v>77.98</v>
      </c>
      <c r="H1301" t="str">
        <f>"ACCT#99088/PCT#4"</f>
        <v>ACCT#99088/PCT#4</v>
      </c>
    </row>
    <row r="1302" spans="1:8" x14ac:dyDescent="0.25">
      <c r="A1302" t="s">
        <v>444</v>
      </c>
      <c r="B1302">
        <v>137342</v>
      </c>
      <c r="C1302" s="3">
        <v>81.98</v>
      </c>
      <c r="D1302" s="4">
        <v>44481</v>
      </c>
      <c r="E1302" t="str">
        <f>"202110066110"</f>
        <v>202110066110</v>
      </c>
      <c r="F1302" t="str">
        <f>"CUST#PK001137/PCT#4"</f>
        <v>CUST#PK001137/PCT#4</v>
      </c>
      <c r="G1302" s="3">
        <v>81.98</v>
      </c>
      <c r="H1302" t="str">
        <f>"CUST#PK001137/PCT#4"</f>
        <v>CUST#PK001137/PCT#4</v>
      </c>
    </row>
    <row r="1303" spans="1:8" x14ac:dyDescent="0.25">
      <c r="A1303" t="s">
        <v>445</v>
      </c>
      <c r="B1303">
        <v>5247</v>
      </c>
      <c r="C1303" s="3">
        <v>523.1</v>
      </c>
      <c r="D1303" s="4">
        <v>44482</v>
      </c>
      <c r="E1303" t="str">
        <f>"202110066126"</f>
        <v>202110066126</v>
      </c>
      <c r="F1303" t="str">
        <f>"ACCT#5/PCT#4"</f>
        <v>ACCT#5/PCT#4</v>
      </c>
      <c r="G1303" s="3">
        <v>523.1</v>
      </c>
      <c r="H1303" t="str">
        <f>"ACCT#5/PCT#4"</f>
        <v>ACCT#5/PCT#4</v>
      </c>
    </row>
    <row r="1304" spans="1:8" x14ac:dyDescent="0.25">
      <c r="A1304" t="s">
        <v>314</v>
      </c>
      <c r="B1304">
        <v>137343</v>
      </c>
      <c r="C1304" s="3">
        <v>2976.77</v>
      </c>
      <c r="D1304" s="4">
        <v>44481</v>
      </c>
      <c r="E1304" t="str">
        <f>"P3885223"</f>
        <v>P3885223</v>
      </c>
      <c r="F1304" t="str">
        <f>"ACCT#8850283308/PCT#4"</f>
        <v>ACCT#8850283308/PCT#4</v>
      </c>
      <c r="G1304" s="3">
        <v>2976.77</v>
      </c>
      <c r="H1304" t="str">
        <f>"ACCT#8850283308/PCT#4"</f>
        <v>ACCT#8850283308/PCT#4</v>
      </c>
    </row>
    <row r="1305" spans="1:8" x14ac:dyDescent="0.25">
      <c r="A1305" t="s">
        <v>354</v>
      </c>
      <c r="B1305">
        <v>137344</v>
      </c>
      <c r="C1305" s="3">
        <v>1798.56</v>
      </c>
      <c r="D1305" s="4">
        <v>44481</v>
      </c>
      <c r="E1305" t="str">
        <f>"4650091023"</f>
        <v>4650091023</v>
      </c>
      <c r="F1305" t="str">
        <f>"CUST#0052158/PCT#4"</f>
        <v>CUST#0052158/PCT#4</v>
      </c>
      <c r="G1305" s="3">
        <v>1798.56</v>
      </c>
      <c r="H1305" t="str">
        <f>"CUST#0052158/PCT#4"</f>
        <v>CUST#0052158/PCT#4</v>
      </c>
    </row>
    <row r="1306" spans="1:8" x14ac:dyDescent="0.25">
      <c r="A1306" t="s">
        <v>379</v>
      </c>
      <c r="B1306">
        <v>137345</v>
      </c>
      <c r="C1306" s="3">
        <v>5130.7</v>
      </c>
      <c r="D1306" s="4">
        <v>44481</v>
      </c>
      <c r="E1306" t="str">
        <f>"1134019-IN"</f>
        <v>1134019-IN</v>
      </c>
      <c r="F1306" t="str">
        <f>"ACCT#01-0112917/PCT#4"</f>
        <v>ACCT#01-0112917/PCT#4</v>
      </c>
      <c r="G1306" s="3">
        <v>5130.7</v>
      </c>
      <c r="H1306" t="str">
        <f>"ACCT#01-0112917/PCT#4"</f>
        <v>ACCT#01-0112917/PCT#4</v>
      </c>
    </row>
    <row r="1307" spans="1:8" x14ac:dyDescent="0.25">
      <c r="A1307" t="s">
        <v>380</v>
      </c>
      <c r="B1307">
        <v>5250</v>
      </c>
      <c r="C1307" s="3">
        <v>17591.25</v>
      </c>
      <c r="D1307" s="4">
        <v>44482</v>
      </c>
      <c r="E1307" t="str">
        <f>"12672"</f>
        <v>12672</v>
      </c>
      <c r="F1307" t="str">
        <f t="shared" ref="F1307:F1312" si="18">"GRAVEL/PCT#4"</f>
        <v>GRAVEL/PCT#4</v>
      </c>
      <c r="G1307" s="3">
        <v>4240.5</v>
      </c>
      <c r="H1307" t="str">
        <f t="shared" ref="H1307:H1312" si="19">"GRAVEL/PCT#4"</f>
        <v>GRAVEL/PCT#4</v>
      </c>
    </row>
    <row r="1308" spans="1:8" x14ac:dyDescent="0.25">
      <c r="E1308" t="str">
        <f>"12691"</f>
        <v>12691</v>
      </c>
      <c r="F1308" t="str">
        <f t="shared" si="18"/>
        <v>GRAVEL/PCT#4</v>
      </c>
      <c r="G1308" s="3">
        <v>1787.85</v>
      </c>
      <c r="H1308" t="str">
        <f t="shared" si="19"/>
        <v>GRAVEL/PCT#4</v>
      </c>
    </row>
    <row r="1309" spans="1:8" x14ac:dyDescent="0.25">
      <c r="E1309" t="str">
        <f>"12715-1"</f>
        <v>12715-1</v>
      </c>
      <c r="F1309" t="str">
        <f t="shared" si="18"/>
        <v>GRAVEL/PCT#4</v>
      </c>
      <c r="G1309" s="3">
        <v>3757.35</v>
      </c>
      <c r="H1309" t="str">
        <f t="shared" si="19"/>
        <v>GRAVEL/PCT#4</v>
      </c>
    </row>
    <row r="1310" spans="1:8" x14ac:dyDescent="0.25">
      <c r="E1310" t="str">
        <f>"12735"</f>
        <v>12735</v>
      </c>
      <c r="F1310" t="str">
        <f t="shared" si="18"/>
        <v>GRAVEL/PCT#4</v>
      </c>
      <c r="G1310" s="3">
        <v>2311.5</v>
      </c>
      <c r="H1310" t="str">
        <f t="shared" si="19"/>
        <v>GRAVEL/PCT#4</v>
      </c>
    </row>
    <row r="1311" spans="1:8" x14ac:dyDescent="0.25">
      <c r="E1311" t="str">
        <f>"12774"</f>
        <v>12774</v>
      </c>
      <c r="F1311" t="str">
        <f t="shared" si="18"/>
        <v>GRAVEL/PCT#4</v>
      </c>
      <c r="G1311" s="3">
        <v>4339.8</v>
      </c>
      <c r="H1311" t="str">
        <f t="shared" si="19"/>
        <v>GRAVEL/PCT#4</v>
      </c>
    </row>
    <row r="1312" spans="1:8" x14ac:dyDescent="0.25">
      <c r="E1312" t="str">
        <f>"12798"</f>
        <v>12798</v>
      </c>
      <c r="F1312" t="str">
        <f t="shared" si="18"/>
        <v>GRAVEL/PCT#4</v>
      </c>
      <c r="G1312" s="3">
        <v>1154.25</v>
      </c>
      <c r="H1312" t="str">
        <f t="shared" si="19"/>
        <v>GRAVEL/PCT#4</v>
      </c>
    </row>
    <row r="1313" spans="1:8" x14ac:dyDescent="0.25">
      <c r="A1313" t="s">
        <v>385</v>
      </c>
      <c r="B1313">
        <v>137346</v>
      </c>
      <c r="C1313" s="3">
        <v>2216.69</v>
      </c>
      <c r="D1313" s="4">
        <v>44481</v>
      </c>
      <c r="E1313" t="str">
        <f>"278290"</f>
        <v>278290</v>
      </c>
      <c r="F1313" t="str">
        <f>"CUST#1574/PCT#4"</f>
        <v>CUST#1574/PCT#4</v>
      </c>
      <c r="G1313" s="3">
        <v>929.98</v>
      </c>
      <c r="H1313" t="str">
        <f>"CUST#1574/PCT#4"</f>
        <v>CUST#1574/PCT#4</v>
      </c>
    </row>
    <row r="1314" spans="1:8" x14ac:dyDescent="0.25">
      <c r="E1314" t="str">
        <f>"278557"</f>
        <v>278557</v>
      </c>
      <c r="F1314" t="str">
        <f>"CUST#1574/PCT#4"</f>
        <v>CUST#1574/PCT#4</v>
      </c>
      <c r="G1314" s="3">
        <v>1286.71</v>
      </c>
      <c r="H1314" t="str">
        <f>"CUST#1574/PCT#4"</f>
        <v>CUST#1574/PCT#4</v>
      </c>
    </row>
    <row r="1315" spans="1:8" x14ac:dyDescent="0.25">
      <c r="A1315" t="s">
        <v>446</v>
      </c>
      <c r="B1315">
        <v>5246</v>
      </c>
      <c r="C1315" s="3">
        <v>237</v>
      </c>
      <c r="D1315" s="4">
        <v>44482</v>
      </c>
      <c r="E1315" t="str">
        <f>"6841"</f>
        <v>6841</v>
      </c>
      <c r="F1315" t="str">
        <f>"EMBROIDERY/JUVENILE BOOTCAMP"</f>
        <v>EMBROIDERY/JUVENILE BOOTCAMP</v>
      </c>
      <c r="G1315" s="3">
        <v>237</v>
      </c>
      <c r="H1315" t="str">
        <f>"EMBROIDERY/JUVENILE BOOTCAMP"</f>
        <v>EMBROIDERY/JUVENILE BOOTCAMP</v>
      </c>
    </row>
    <row r="1316" spans="1:8" x14ac:dyDescent="0.25">
      <c r="A1316" t="s">
        <v>447</v>
      </c>
      <c r="B1316">
        <v>1407</v>
      </c>
      <c r="C1316" s="3">
        <v>4121.3599999999997</v>
      </c>
      <c r="D1316" s="4">
        <v>44497</v>
      </c>
      <c r="E1316" t="str">
        <f>"202110276698"</f>
        <v>202110276698</v>
      </c>
      <c r="F1316" t="str">
        <f>"ROUNDING - OCT 2021"</f>
        <v>ROUNDING - OCT 2021</v>
      </c>
      <c r="G1316" s="3">
        <v>0.02</v>
      </c>
      <c r="H1316" t="str">
        <f>"ROUNDING - OCT 2021"</f>
        <v>ROUNDING - OCT 2021</v>
      </c>
    </row>
    <row r="1317" spans="1:8" x14ac:dyDescent="0.25">
      <c r="E1317" t="str">
        <f>"AS 202109295920"</f>
        <v>AS 202109295920</v>
      </c>
      <c r="F1317" t="str">
        <f t="shared" ref="F1317:F1330" si="20">"ALLSTATE"</f>
        <v>ALLSTATE</v>
      </c>
      <c r="G1317" s="3">
        <v>356.53</v>
      </c>
      <c r="H1317" t="str">
        <f t="shared" ref="H1317:H1330" si="21">"ALLSTATE"</f>
        <v>ALLSTATE</v>
      </c>
    </row>
    <row r="1318" spans="1:8" x14ac:dyDescent="0.25">
      <c r="E1318" t="str">
        <f>"AS 202109295921"</f>
        <v>AS 202109295921</v>
      </c>
      <c r="F1318" t="str">
        <f t="shared" si="20"/>
        <v>ALLSTATE</v>
      </c>
      <c r="G1318" s="3">
        <v>27.14</v>
      </c>
      <c r="H1318" t="str">
        <f t="shared" si="21"/>
        <v>ALLSTATE</v>
      </c>
    </row>
    <row r="1319" spans="1:8" x14ac:dyDescent="0.25">
      <c r="E1319" t="str">
        <f>"AS 202110136441"</f>
        <v>AS 202110136441</v>
      </c>
      <c r="F1319" t="str">
        <f t="shared" si="20"/>
        <v>ALLSTATE</v>
      </c>
      <c r="G1319" s="3">
        <v>356.53</v>
      </c>
      <c r="H1319" t="str">
        <f t="shared" si="21"/>
        <v>ALLSTATE</v>
      </c>
    </row>
    <row r="1320" spans="1:8" x14ac:dyDescent="0.25">
      <c r="E1320" t="str">
        <f>"AS 202110136442"</f>
        <v>AS 202110136442</v>
      </c>
      <c r="F1320" t="str">
        <f t="shared" si="20"/>
        <v>ALLSTATE</v>
      </c>
      <c r="G1320" s="3">
        <v>27.14</v>
      </c>
      <c r="H1320" t="str">
        <f t="shared" si="21"/>
        <v>ALLSTATE</v>
      </c>
    </row>
    <row r="1321" spans="1:8" x14ac:dyDescent="0.25">
      <c r="E1321" t="str">
        <f>"ASD202109295920"</f>
        <v>ASD202109295920</v>
      </c>
      <c r="F1321" t="str">
        <f t="shared" si="20"/>
        <v>ALLSTATE</v>
      </c>
      <c r="G1321" s="3">
        <v>163.83000000000001</v>
      </c>
      <c r="H1321" t="str">
        <f t="shared" si="21"/>
        <v>ALLSTATE</v>
      </c>
    </row>
    <row r="1322" spans="1:8" x14ac:dyDescent="0.25">
      <c r="E1322" t="str">
        <f>"ASD202110136441"</f>
        <v>ASD202110136441</v>
      </c>
      <c r="F1322" t="str">
        <f t="shared" si="20"/>
        <v>ALLSTATE</v>
      </c>
      <c r="G1322" s="3">
        <v>163.83000000000001</v>
      </c>
      <c r="H1322" t="str">
        <f t="shared" si="21"/>
        <v>ALLSTATE</v>
      </c>
    </row>
    <row r="1323" spans="1:8" x14ac:dyDescent="0.25">
      <c r="E1323" t="str">
        <f>"ASI202109295920"</f>
        <v>ASI202109295920</v>
      </c>
      <c r="F1323" t="str">
        <f t="shared" si="20"/>
        <v>ALLSTATE</v>
      </c>
      <c r="G1323" s="3">
        <v>506.26</v>
      </c>
      <c r="H1323" t="str">
        <f t="shared" si="21"/>
        <v>ALLSTATE</v>
      </c>
    </row>
    <row r="1324" spans="1:8" x14ac:dyDescent="0.25">
      <c r="E1324" t="str">
        <f>"ASI202109295921"</f>
        <v>ASI202109295921</v>
      </c>
      <c r="F1324" t="str">
        <f t="shared" si="20"/>
        <v>ALLSTATE</v>
      </c>
      <c r="G1324" s="3">
        <v>67.150000000000006</v>
      </c>
      <c r="H1324" t="str">
        <f t="shared" si="21"/>
        <v>ALLSTATE</v>
      </c>
    </row>
    <row r="1325" spans="1:8" x14ac:dyDescent="0.25">
      <c r="E1325" t="str">
        <f>"ASI202110136441"</f>
        <v>ASI202110136441</v>
      </c>
      <c r="F1325" t="str">
        <f t="shared" si="20"/>
        <v>ALLSTATE</v>
      </c>
      <c r="G1325" s="3">
        <v>506.26</v>
      </c>
      <c r="H1325" t="str">
        <f t="shared" si="21"/>
        <v>ALLSTATE</v>
      </c>
    </row>
    <row r="1326" spans="1:8" x14ac:dyDescent="0.25">
      <c r="E1326" t="str">
        <f>"ASI202110136442"</f>
        <v>ASI202110136442</v>
      </c>
      <c r="F1326" t="str">
        <f t="shared" si="20"/>
        <v>ALLSTATE</v>
      </c>
      <c r="G1326" s="3">
        <v>67.150000000000006</v>
      </c>
      <c r="H1326" t="str">
        <f t="shared" si="21"/>
        <v>ALLSTATE</v>
      </c>
    </row>
    <row r="1327" spans="1:8" x14ac:dyDescent="0.25">
      <c r="E1327" t="str">
        <f>"AST202109295920"</f>
        <v>AST202109295920</v>
      </c>
      <c r="F1327" t="str">
        <f t="shared" si="20"/>
        <v>ALLSTATE</v>
      </c>
      <c r="G1327" s="3">
        <v>908.35</v>
      </c>
      <c r="H1327" t="str">
        <f t="shared" si="21"/>
        <v>ALLSTATE</v>
      </c>
    </row>
    <row r="1328" spans="1:8" x14ac:dyDescent="0.25">
      <c r="E1328" t="str">
        <f>"AST202109295921"</f>
        <v>AST202109295921</v>
      </c>
      <c r="F1328" t="str">
        <f t="shared" si="20"/>
        <v>ALLSTATE</v>
      </c>
      <c r="G1328" s="3">
        <v>31.41</v>
      </c>
      <c r="H1328" t="str">
        <f t="shared" si="21"/>
        <v>ALLSTATE</v>
      </c>
    </row>
    <row r="1329" spans="1:8" x14ac:dyDescent="0.25">
      <c r="E1329" t="str">
        <f>"AST202110136441"</f>
        <v>AST202110136441</v>
      </c>
      <c r="F1329" t="str">
        <f t="shared" si="20"/>
        <v>ALLSTATE</v>
      </c>
      <c r="G1329" s="3">
        <v>908.35</v>
      </c>
      <c r="H1329" t="str">
        <f t="shared" si="21"/>
        <v>ALLSTATE</v>
      </c>
    </row>
    <row r="1330" spans="1:8" x14ac:dyDescent="0.25">
      <c r="E1330" t="str">
        <f>"AST202110136442"</f>
        <v>AST202110136442</v>
      </c>
      <c r="F1330" t="str">
        <f t="shared" si="20"/>
        <v>ALLSTATE</v>
      </c>
      <c r="G1330" s="3">
        <v>31.41</v>
      </c>
      <c r="H1330" t="str">
        <f t="shared" si="21"/>
        <v>ALLSTATE</v>
      </c>
    </row>
    <row r="1331" spans="1:8" x14ac:dyDescent="0.25">
      <c r="A1331" t="s">
        <v>448</v>
      </c>
      <c r="B1331">
        <v>1403</v>
      </c>
      <c r="C1331" s="3">
        <v>28159.51</v>
      </c>
      <c r="D1331" s="4">
        <v>44497</v>
      </c>
      <c r="E1331" t="str">
        <f>"202110276703"</f>
        <v>202110276703</v>
      </c>
      <c r="F1331" t="str">
        <f>"RETIREE INS - OCTOBER 2021"</f>
        <v>RETIREE INS - OCTOBER 2021</v>
      </c>
      <c r="G1331" s="3">
        <v>28159.51</v>
      </c>
      <c r="H1331" t="str">
        <f>"RETIREE INS - OCTOBER 2021"</f>
        <v>RETIREE INS - OCTOBER 2021</v>
      </c>
    </row>
    <row r="1332" spans="1:8" x14ac:dyDescent="0.25">
      <c r="A1332" t="s">
        <v>449</v>
      </c>
      <c r="B1332">
        <v>1348</v>
      </c>
      <c r="C1332" s="3">
        <v>1723.93</v>
      </c>
      <c r="D1332" s="4">
        <v>44470</v>
      </c>
      <c r="E1332" t="str">
        <f>"DHM202109295922"</f>
        <v>DHM202109295922</v>
      </c>
      <c r="F1332" t="str">
        <f>"AP - DENTAL HMO"</f>
        <v>AP - DENTAL HMO</v>
      </c>
      <c r="G1332" s="3">
        <v>7.11</v>
      </c>
      <c r="H1332" t="str">
        <f>"AP - DENTAL HMO"</f>
        <v>AP - DENTAL HMO</v>
      </c>
    </row>
    <row r="1333" spans="1:8" x14ac:dyDescent="0.25">
      <c r="E1333" t="str">
        <f>"DTX202109295922"</f>
        <v>DTX202109295922</v>
      </c>
      <c r="F1333" t="str">
        <f>"AP - TEXAS DENTAL"</f>
        <v>AP - TEXAS DENTAL</v>
      </c>
      <c r="G1333" s="3">
        <v>446.56</v>
      </c>
      <c r="H1333" t="str">
        <f>"AP - TEXAS DENTAL"</f>
        <v>AP - TEXAS DENTAL</v>
      </c>
    </row>
    <row r="1334" spans="1:8" x14ac:dyDescent="0.25">
      <c r="E1334" t="str">
        <f>"FD 202109295922"</f>
        <v>FD 202109295922</v>
      </c>
      <c r="F1334" t="str">
        <f>"AP - FT DEARBORN PRE-TAX"</f>
        <v>AP - FT DEARBORN PRE-TAX</v>
      </c>
      <c r="G1334" s="3">
        <v>68.319999999999993</v>
      </c>
      <c r="H1334" t="str">
        <f>"AP - FT DEARBORN PRE-TAX"</f>
        <v>AP - FT DEARBORN PRE-TAX</v>
      </c>
    </row>
    <row r="1335" spans="1:8" x14ac:dyDescent="0.25">
      <c r="E1335" t="str">
        <f>"FDT202109295922"</f>
        <v>FDT202109295922</v>
      </c>
      <c r="F1335" t="str">
        <f>"AP - FT DEARBORN AFTER TAX"</f>
        <v>AP - FT DEARBORN AFTER TAX</v>
      </c>
      <c r="G1335" s="3">
        <v>82.43</v>
      </c>
      <c r="H1335" t="str">
        <f>"AP - FT DEARBORN AFTER TAX"</f>
        <v>AP - FT DEARBORN AFTER TAX</v>
      </c>
    </row>
    <row r="1336" spans="1:8" x14ac:dyDescent="0.25">
      <c r="E1336" t="str">
        <f>"FLX202109295922"</f>
        <v>FLX202109295922</v>
      </c>
      <c r="F1336" t="str">
        <f>"AP - TEX FLEX"</f>
        <v>AP - TEX FLEX</v>
      </c>
      <c r="G1336" s="3">
        <v>84.5</v>
      </c>
      <c r="H1336" t="str">
        <f>"AP - TEX FLEX"</f>
        <v>AP - TEX FLEX</v>
      </c>
    </row>
    <row r="1337" spans="1:8" x14ac:dyDescent="0.25">
      <c r="E1337" t="str">
        <f>"HSA202109295922"</f>
        <v>HSA202109295922</v>
      </c>
      <c r="F1337" t="str">
        <f>"AP- HSA"</f>
        <v>AP- HSA</v>
      </c>
      <c r="G1337" s="3">
        <v>20</v>
      </c>
      <c r="H1337" t="str">
        <f>"AP- HSA"</f>
        <v>AP- HSA</v>
      </c>
    </row>
    <row r="1338" spans="1:8" x14ac:dyDescent="0.25">
      <c r="E1338" t="str">
        <f>"MHS202109295922"</f>
        <v>MHS202109295922</v>
      </c>
      <c r="F1338" t="str">
        <f>"AP - HEALTH SELECT MEDICAL"</f>
        <v>AP - HEALTH SELECT MEDICAL</v>
      </c>
      <c r="G1338" s="3">
        <v>851.3</v>
      </c>
      <c r="H1338" t="str">
        <f>"AP - HEALTH SELECT MEDICAL"</f>
        <v>AP - HEALTH SELECT MEDICAL</v>
      </c>
    </row>
    <row r="1339" spans="1:8" x14ac:dyDescent="0.25">
      <c r="E1339" t="str">
        <f>"MSW202109295922"</f>
        <v>MSW202109295922</v>
      </c>
      <c r="F1339" t="str">
        <f>"AP - SCOTT &amp; WHITE MEDICAL"</f>
        <v>AP - SCOTT &amp; WHITE MEDICAL</v>
      </c>
      <c r="G1339" s="3">
        <v>119.69</v>
      </c>
      <c r="H1339" t="str">
        <f>"AP - SCOTT &amp; WHITE MEDICAL"</f>
        <v>AP - SCOTT &amp; WHITE MEDICAL</v>
      </c>
    </row>
    <row r="1340" spans="1:8" x14ac:dyDescent="0.25">
      <c r="E1340" t="str">
        <f>"SPE202109295922"</f>
        <v>SPE202109295922</v>
      </c>
      <c r="F1340" t="str">
        <f>"AP - STATE VISION"</f>
        <v>AP - STATE VISION</v>
      </c>
      <c r="G1340" s="3">
        <v>44.02</v>
      </c>
      <c r="H1340" t="str">
        <f>"AP - STATE VISION"</f>
        <v>AP - STATE VISION</v>
      </c>
    </row>
    <row r="1341" spans="1:8" x14ac:dyDescent="0.25">
      <c r="A1341" t="s">
        <v>449</v>
      </c>
      <c r="B1341">
        <v>1355</v>
      </c>
      <c r="C1341" s="3">
        <v>1995.23</v>
      </c>
      <c r="D1341" s="4">
        <v>44484</v>
      </c>
      <c r="E1341" t="str">
        <f>"DHM202110136443"</f>
        <v>DHM202110136443</v>
      </c>
      <c r="F1341" t="str">
        <f>"AP - DENTAL HMO"</f>
        <v>AP - DENTAL HMO</v>
      </c>
      <c r="G1341" s="3">
        <v>16.7</v>
      </c>
      <c r="H1341" t="str">
        <f>"AP - DENTAL HMO"</f>
        <v>AP - DENTAL HMO</v>
      </c>
    </row>
    <row r="1342" spans="1:8" x14ac:dyDescent="0.25">
      <c r="E1342" t="str">
        <f>"DTX202110136443"</f>
        <v>DTX202110136443</v>
      </c>
      <c r="F1342" t="str">
        <f>"AP - TEXAS DENTAL"</f>
        <v>AP - TEXAS DENTAL</v>
      </c>
      <c r="G1342" s="3">
        <v>446.56</v>
      </c>
      <c r="H1342" t="str">
        <f>"AP - TEXAS DENTAL"</f>
        <v>AP - TEXAS DENTAL</v>
      </c>
    </row>
    <row r="1343" spans="1:8" x14ac:dyDescent="0.25">
      <c r="E1343" t="str">
        <f>"FD 202110136443"</f>
        <v>FD 202110136443</v>
      </c>
      <c r="F1343" t="str">
        <f>"AP - FT DEARBORN PRE-TAX"</f>
        <v>AP - FT DEARBORN PRE-TAX</v>
      </c>
      <c r="G1343" s="3">
        <v>71.599999999999994</v>
      </c>
      <c r="H1343" t="str">
        <f>"AP - FT DEARBORN PRE-TAX"</f>
        <v>AP - FT DEARBORN PRE-TAX</v>
      </c>
    </row>
    <row r="1344" spans="1:8" x14ac:dyDescent="0.25">
      <c r="E1344" t="str">
        <f>"FDT202110136443"</f>
        <v>FDT202110136443</v>
      </c>
      <c r="F1344" t="str">
        <f>"AP - FT DEARBORN AFTER TAX"</f>
        <v>AP - FT DEARBORN AFTER TAX</v>
      </c>
      <c r="G1344" s="3">
        <v>85.47</v>
      </c>
      <c r="H1344" t="str">
        <f>"AP - FT DEARBORN AFTER TAX"</f>
        <v>AP - FT DEARBORN AFTER TAX</v>
      </c>
    </row>
    <row r="1345" spans="1:8" x14ac:dyDescent="0.25">
      <c r="E1345" t="str">
        <f>"FLX202110136443"</f>
        <v>FLX202110136443</v>
      </c>
      <c r="F1345" t="str">
        <f>"AP - TEX FLEX"</f>
        <v>AP - TEX FLEX</v>
      </c>
      <c r="G1345" s="3">
        <v>84.5</v>
      </c>
      <c r="H1345" t="str">
        <f>"AP - TEX FLEX"</f>
        <v>AP - TEX FLEX</v>
      </c>
    </row>
    <row r="1346" spans="1:8" x14ac:dyDescent="0.25">
      <c r="E1346" t="str">
        <f>"HSA202110136443"</f>
        <v>HSA202110136443</v>
      </c>
      <c r="F1346" t="str">
        <f>"AP- HSA"</f>
        <v>AP- HSA</v>
      </c>
      <c r="G1346" s="3">
        <v>20</v>
      </c>
      <c r="H1346" t="str">
        <f>"AP- HSA"</f>
        <v>AP- HSA</v>
      </c>
    </row>
    <row r="1347" spans="1:8" x14ac:dyDescent="0.25">
      <c r="E1347" t="str">
        <f>"MHS202110136443"</f>
        <v>MHS202110136443</v>
      </c>
      <c r="F1347" t="str">
        <f>"AP - HEALTH SELECT MEDICAL"</f>
        <v>AP - HEALTH SELECT MEDICAL</v>
      </c>
      <c r="G1347" s="3">
        <v>1090.68</v>
      </c>
      <c r="H1347" t="str">
        <f>"AP - HEALTH SELECT MEDICAL"</f>
        <v>AP - HEALTH SELECT MEDICAL</v>
      </c>
    </row>
    <row r="1348" spans="1:8" x14ac:dyDescent="0.25">
      <c r="E1348" t="str">
        <f>"MSW202110136443"</f>
        <v>MSW202110136443</v>
      </c>
      <c r="F1348" t="str">
        <f>"AP - SCOTT &amp; WHITE MEDICAL"</f>
        <v>AP - SCOTT &amp; WHITE MEDICAL</v>
      </c>
      <c r="G1348" s="3">
        <v>119.69</v>
      </c>
      <c r="H1348" t="str">
        <f>"AP - SCOTT &amp; WHITE MEDICAL"</f>
        <v>AP - SCOTT &amp; WHITE MEDICAL</v>
      </c>
    </row>
    <row r="1349" spans="1:8" x14ac:dyDescent="0.25">
      <c r="E1349" t="str">
        <f>"SPE202110136443"</f>
        <v>SPE202110136443</v>
      </c>
      <c r="F1349" t="str">
        <f>"AP - STATE VISION"</f>
        <v>AP - STATE VISION</v>
      </c>
      <c r="G1349" s="3">
        <v>60.03</v>
      </c>
      <c r="H1349" t="str">
        <f>"AP - STATE VISION"</f>
        <v>AP - STATE VISION</v>
      </c>
    </row>
    <row r="1350" spans="1:8" x14ac:dyDescent="0.25">
      <c r="A1350" t="s">
        <v>450</v>
      </c>
      <c r="B1350">
        <v>1408</v>
      </c>
      <c r="C1350" s="3">
        <v>4653.88</v>
      </c>
      <c r="D1350" s="4">
        <v>44497</v>
      </c>
      <c r="E1350" t="str">
        <f>"202110276700"</f>
        <v>202110276700</v>
      </c>
      <c r="F1350" t="str">
        <f>"ADJ - OCT 2021"</f>
        <v>ADJ - OCT 2021</v>
      </c>
      <c r="G1350" s="3">
        <v>41.64</v>
      </c>
      <c r="H1350" t="str">
        <f>"ADJ - OCT 2021"</f>
        <v>ADJ - OCT 2021</v>
      </c>
    </row>
    <row r="1351" spans="1:8" x14ac:dyDescent="0.25">
      <c r="E1351" t="str">
        <f>"202110276701"</f>
        <v>202110276701</v>
      </c>
      <c r="F1351" t="str">
        <f>"ROUNDING - OCT 2021"</f>
        <v>ROUNDING - OCT 2021</v>
      </c>
      <c r="G1351" s="3">
        <v>0.38</v>
      </c>
      <c r="H1351" t="str">
        <f>"ROUNDING - OCT 2021"</f>
        <v>ROUNDING - OCT 2021</v>
      </c>
    </row>
    <row r="1352" spans="1:8" x14ac:dyDescent="0.25">
      <c r="E1352" t="str">
        <f>"CL 202109295920"</f>
        <v>CL 202109295920</v>
      </c>
      <c r="F1352" t="str">
        <f t="shared" ref="F1352:F1369" si="22">"COLONIAL"</f>
        <v>COLONIAL</v>
      </c>
      <c r="G1352" s="3">
        <v>495.25</v>
      </c>
      <c r="H1352" t="str">
        <f t="shared" ref="H1352:H1369" si="23">"COLONIAL"</f>
        <v>COLONIAL</v>
      </c>
    </row>
    <row r="1353" spans="1:8" x14ac:dyDescent="0.25">
      <c r="E1353" t="str">
        <f>"CL 202109295921"</f>
        <v>CL 202109295921</v>
      </c>
      <c r="F1353" t="str">
        <f t="shared" si="22"/>
        <v>COLONIAL</v>
      </c>
      <c r="G1353" s="3">
        <v>14.49</v>
      </c>
      <c r="H1353" t="str">
        <f t="shared" si="23"/>
        <v>COLONIAL</v>
      </c>
    </row>
    <row r="1354" spans="1:8" x14ac:dyDescent="0.25">
      <c r="E1354" t="str">
        <f>"CL 202110136441"</f>
        <v>CL 202110136441</v>
      </c>
      <c r="F1354" t="str">
        <f t="shared" si="22"/>
        <v>COLONIAL</v>
      </c>
      <c r="G1354" s="3">
        <v>564.71</v>
      </c>
      <c r="H1354" t="str">
        <f t="shared" si="23"/>
        <v>COLONIAL</v>
      </c>
    </row>
    <row r="1355" spans="1:8" x14ac:dyDescent="0.25">
      <c r="E1355" t="str">
        <f>"CL 202110136442"</f>
        <v>CL 202110136442</v>
      </c>
      <c r="F1355" t="str">
        <f t="shared" si="22"/>
        <v>COLONIAL</v>
      </c>
      <c r="G1355" s="3">
        <v>14.49</v>
      </c>
      <c r="H1355" t="str">
        <f t="shared" si="23"/>
        <v>COLONIAL</v>
      </c>
    </row>
    <row r="1356" spans="1:8" x14ac:dyDescent="0.25">
      <c r="E1356" t="str">
        <f>"CLC202109295920"</f>
        <v>CLC202109295920</v>
      </c>
      <c r="F1356" t="str">
        <f t="shared" si="22"/>
        <v>COLONIAL</v>
      </c>
      <c r="G1356" s="3">
        <v>33.99</v>
      </c>
      <c r="H1356" t="str">
        <f t="shared" si="23"/>
        <v>COLONIAL</v>
      </c>
    </row>
    <row r="1357" spans="1:8" x14ac:dyDescent="0.25">
      <c r="E1357" t="str">
        <f>"CLC202110136441"</f>
        <v>CLC202110136441</v>
      </c>
      <c r="F1357" t="str">
        <f t="shared" si="22"/>
        <v>COLONIAL</v>
      </c>
      <c r="G1357" s="3">
        <v>33.99</v>
      </c>
      <c r="H1357" t="str">
        <f t="shared" si="23"/>
        <v>COLONIAL</v>
      </c>
    </row>
    <row r="1358" spans="1:8" x14ac:dyDescent="0.25">
      <c r="E1358" t="str">
        <f>"CLI202109295920"</f>
        <v>CLI202109295920</v>
      </c>
      <c r="F1358" t="str">
        <f t="shared" si="22"/>
        <v>COLONIAL</v>
      </c>
      <c r="G1358" s="3">
        <v>510.74</v>
      </c>
      <c r="H1358" t="str">
        <f t="shared" si="23"/>
        <v>COLONIAL</v>
      </c>
    </row>
    <row r="1359" spans="1:8" x14ac:dyDescent="0.25">
      <c r="E1359" t="str">
        <f>"CLI202110136441"</f>
        <v>CLI202110136441</v>
      </c>
      <c r="F1359" t="str">
        <f t="shared" si="22"/>
        <v>COLONIAL</v>
      </c>
      <c r="G1359" s="3">
        <v>591.84</v>
      </c>
      <c r="H1359" t="str">
        <f t="shared" si="23"/>
        <v>COLONIAL</v>
      </c>
    </row>
    <row r="1360" spans="1:8" x14ac:dyDescent="0.25">
      <c r="E1360" t="str">
        <f>"CLK202109295920"</f>
        <v>CLK202109295920</v>
      </c>
      <c r="F1360" t="str">
        <f t="shared" si="22"/>
        <v>COLONIAL</v>
      </c>
      <c r="G1360" s="3">
        <v>6.2</v>
      </c>
      <c r="H1360" t="str">
        <f t="shared" si="23"/>
        <v>COLONIAL</v>
      </c>
    </row>
    <row r="1361" spans="1:8" x14ac:dyDescent="0.25">
      <c r="E1361" t="str">
        <f>"CLK202110136441"</f>
        <v>CLK202110136441</v>
      </c>
      <c r="F1361" t="str">
        <f t="shared" si="22"/>
        <v>COLONIAL</v>
      </c>
      <c r="G1361" s="3">
        <v>6.2</v>
      </c>
      <c r="H1361" t="str">
        <f t="shared" si="23"/>
        <v>COLONIAL</v>
      </c>
    </row>
    <row r="1362" spans="1:8" x14ac:dyDescent="0.25">
      <c r="E1362" t="str">
        <f>"CLS202109295920"</f>
        <v>CLS202109295920</v>
      </c>
      <c r="F1362" t="str">
        <f t="shared" si="22"/>
        <v>COLONIAL</v>
      </c>
      <c r="G1362" s="3">
        <v>289.82</v>
      </c>
      <c r="H1362" t="str">
        <f t="shared" si="23"/>
        <v>COLONIAL</v>
      </c>
    </row>
    <row r="1363" spans="1:8" x14ac:dyDescent="0.25">
      <c r="E1363" t="str">
        <f>"CLS202110136441"</f>
        <v>CLS202110136441</v>
      </c>
      <c r="F1363" t="str">
        <f t="shared" si="22"/>
        <v>COLONIAL</v>
      </c>
      <c r="G1363" s="3">
        <v>446.34</v>
      </c>
      <c r="H1363" t="str">
        <f t="shared" si="23"/>
        <v>COLONIAL</v>
      </c>
    </row>
    <row r="1364" spans="1:8" x14ac:dyDescent="0.25">
      <c r="E1364" t="str">
        <f>"CLT202109295920"</f>
        <v>CLT202109295920</v>
      </c>
      <c r="F1364" t="str">
        <f t="shared" si="22"/>
        <v>COLONIAL</v>
      </c>
      <c r="G1364" s="3">
        <v>234.78</v>
      </c>
      <c r="H1364" t="str">
        <f t="shared" si="23"/>
        <v>COLONIAL</v>
      </c>
    </row>
    <row r="1365" spans="1:8" x14ac:dyDescent="0.25">
      <c r="E1365" t="str">
        <f>"CLT202110136441"</f>
        <v>CLT202110136441</v>
      </c>
      <c r="F1365" t="str">
        <f t="shared" si="22"/>
        <v>COLONIAL</v>
      </c>
      <c r="G1365" s="3">
        <v>463.62</v>
      </c>
      <c r="H1365" t="str">
        <f t="shared" si="23"/>
        <v>COLONIAL</v>
      </c>
    </row>
    <row r="1366" spans="1:8" x14ac:dyDescent="0.25">
      <c r="E1366" t="str">
        <f>"CLU202109295920"</f>
        <v>CLU202109295920</v>
      </c>
      <c r="F1366" t="str">
        <f t="shared" si="22"/>
        <v>COLONIAL</v>
      </c>
      <c r="G1366" s="3">
        <v>61.22</v>
      </c>
      <c r="H1366" t="str">
        <f t="shared" si="23"/>
        <v>COLONIAL</v>
      </c>
    </row>
    <row r="1367" spans="1:8" x14ac:dyDescent="0.25">
      <c r="E1367" t="str">
        <f>"CLU202110136441"</f>
        <v>CLU202110136441</v>
      </c>
      <c r="F1367" t="str">
        <f t="shared" si="22"/>
        <v>COLONIAL</v>
      </c>
      <c r="G1367" s="3">
        <v>61.22</v>
      </c>
      <c r="H1367" t="str">
        <f t="shared" si="23"/>
        <v>COLONIAL</v>
      </c>
    </row>
    <row r="1368" spans="1:8" x14ac:dyDescent="0.25">
      <c r="E1368" t="str">
        <f>"CLW202109295920"</f>
        <v>CLW202109295920</v>
      </c>
      <c r="F1368" t="str">
        <f t="shared" si="22"/>
        <v>COLONIAL</v>
      </c>
      <c r="G1368" s="3">
        <v>266.69</v>
      </c>
      <c r="H1368" t="str">
        <f t="shared" si="23"/>
        <v>COLONIAL</v>
      </c>
    </row>
    <row r="1369" spans="1:8" x14ac:dyDescent="0.25">
      <c r="E1369" t="str">
        <f>"CLW202110136441"</f>
        <v>CLW202110136441</v>
      </c>
      <c r="F1369" t="str">
        <f t="shared" si="22"/>
        <v>COLONIAL</v>
      </c>
      <c r="G1369" s="3">
        <v>516.27</v>
      </c>
      <c r="H1369" t="str">
        <f t="shared" si="23"/>
        <v>COLONIAL</v>
      </c>
    </row>
    <row r="1370" spans="1:8" x14ac:dyDescent="0.25">
      <c r="A1370" t="s">
        <v>451</v>
      </c>
      <c r="B1370">
        <v>1404</v>
      </c>
      <c r="C1370" s="3">
        <v>42716.54</v>
      </c>
      <c r="D1370" s="4">
        <v>44497</v>
      </c>
      <c r="E1370" t="str">
        <f>"202110276711"</f>
        <v>202110276711</v>
      </c>
      <c r="F1370" t="str">
        <f>"ADJ - OCTOBER 2021"</f>
        <v>ADJ - OCTOBER 2021</v>
      </c>
      <c r="G1370" s="3">
        <v>-32.78</v>
      </c>
      <c r="H1370" t="str">
        <f>"ADJ - OCTOBER 2021"</f>
        <v>ADJ - OCTOBER 2021</v>
      </c>
    </row>
    <row r="1371" spans="1:8" x14ac:dyDescent="0.25">
      <c r="E1371" t="str">
        <f>"202110276704"</f>
        <v>202110276704</v>
      </c>
      <c r="F1371" t="str">
        <f>"RETIREE INS - OCTOBER 2021"</f>
        <v>RETIREE INS - OCTOBER 2021</v>
      </c>
      <c r="G1371" s="3">
        <v>3365.44</v>
      </c>
      <c r="H1371" t="str">
        <f>"RETIREE INS - OCTOBER 2021"</f>
        <v>RETIREE INS - OCTOBER 2021</v>
      </c>
    </row>
    <row r="1372" spans="1:8" x14ac:dyDescent="0.25">
      <c r="E1372" t="str">
        <f>"202110276705"</f>
        <v>202110276705</v>
      </c>
      <c r="F1372" t="str">
        <f>"COBRA - OCTOBER 2021"</f>
        <v>COBRA - OCTOBER 2021</v>
      </c>
      <c r="G1372" s="3">
        <v>207.7</v>
      </c>
      <c r="H1372" t="str">
        <f>"COBRA - OCTOBER 2021"</f>
        <v>COBRA - OCTOBER 2021</v>
      </c>
    </row>
    <row r="1373" spans="1:8" x14ac:dyDescent="0.25">
      <c r="E1373" t="str">
        <f>"ADC202109295920"</f>
        <v>ADC202109295920</v>
      </c>
      <c r="F1373" t="str">
        <f t="shared" ref="F1373:F1385" si="24">"GUARDIAN"</f>
        <v>GUARDIAN</v>
      </c>
      <c r="G1373" s="3">
        <v>4.9000000000000004</v>
      </c>
      <c r="H1373" t="str">
        <f t="shared" ref="H1373:H1436" si="25">"GUARDIAN"</f>
        <v>GUARDIAN</v>
      </c>
    </row>
    <row r="1374" spans="1:8" x14ac:dyDescent="0.25">
      <c r="E1374" t="str">
        <f>"ADC202109295921"</f>
        <v>ADC202109295921</v>
      </c>
      <c r="F1374" t="str">
        <f t="shared" si="24"/>
        <v>GUARDIAN</v>
      </c>
      <c r="G1374" s="3">
        <v>0.16</v>
      </c>
      <c r="H1374" t="str">
        <f t="shared" si="25"/>
        <v>GUARDIAN</v>
      </c>
    </row>
    <row r="1375" spans="1:8" x14ac:dyDescent="0.25">
      <c r="E1375" t="str">
        <f>"ADC202110136441"</f>
        <v>ADC202110136441</v>
      </c>
      <c r="F1375" t="str">
        <f t="shared" si="24"/>
        <v>GUARDIAN</v>
      </c>
      <c r="G1375" s="3">
        <v>4.9000000000000004</v>
      </c>
      <c r="H1375" t="str">
        <f t="shared" si="25"/>
        <v>GUARDIAN</v>
      </c>
    </row>
    <row r="1376" spans="1:8" x14ac:dyDescent="0.25">
      <c r="E1376" t="str">
        <f>"ADC202110136442"</f>
        <v>ADC202110136442</v>
      </c>
      <c r="F1376" t="str">
        <f t="shared" si="24"/>
        <v>GUARDIAN</v>
      </c>
      <c r="G1376" s="3">
        <v>0.16</v>
      </c>
      <c r="H1376" t="str">
        <f t="shared" si="25"/>
        <v>GUARDIAN</v>
      </c>
    </row>
    <row r="1377" spans="5:8" x14ac:dyDescent="0.25">
      <c r="E1377" t="str">
        <f>"ADE202109295920"</f>
        <v>ADE202109295920</v>
      </c>
      <c r="F1377" t="str">
        <f t="shared" si="24"/>
        <v>GUARDIAN</v>
      </c>
      <c r="G1377" s="3">
        <v>221.43</v>
      </c>
      <c r="H1377" t="str">
        <f t="shared" si="25"/>
        <v>GUARDIAN</v>
      </c>
    </row>
    <row r="1378" spans="5:8" x14ac:dyDescent="0.25">
      <c r="E1378" t="str">
        <f>"ADE202109295921"</f>
        <v>ADE202109295921</v>
      </c>
      <c r="F1378" t="str">
        <f t="shared" si="24"/>
        <v>GUARDIAN</v>
      </c>
      <c r="G1378" s="3">
        <v>5.55</v>
      </c>
      <c r="H1378" t="str">
        <f t="shared" si="25"/>
        <v>GUARDIAN</v>
      </c>
    </row>
    <row r="1379" spans="5:8" x14ac:dyDescent="0.25">
      <c r="E1379" t="str">
        <f>"ADE202110136441"</f>
        <v>ADE202110136441</v>
      </c>
      <c r="F1379" t="str">
        <f t="shared" si="24"/>
        <v>GUARDIAN</v>
      </c>
      <c r="G1379" s="3">
        <v>221.73</v>
      </c>
      <c r="H1379" t="str">
        <f t="shared" si="25"/>
        <v>GUARDIAN</v>
      </c>
    </row>
    <row r="1380" spans="5:8" x14ac:dyDescent="0.25">
      <c r="E1380" t="str">
        <f>"ADE202110136442"</f>
        <v>ADE202110136442</v>
      </c>
      <c r="F1380" t="str">
        <f t="shared" si="24"/>
        <v>GUARDIAN</v>
      </c>
      <c r="G1380" s="3">
        <v>5.55</v>
      </c>
      <c r="H1380" t="str">
        <f t="shared" si="25"/>
        <v>GUARDIAN</v>
      </c>
    </row>
    <row r="1381" spans="5:8" x14ac:dyDescent="0.25">
      <c r="E1381" t="str">
        <f>"ADS202109295920"</f>
        <v>ADS202109295920</v>
      </c>
      <c r="F1381" t="str">
        <f t="shared" si="24"/>
        <v>GUARDIAN</v>
      </c>
      <c r="G1381" s="3">
        <v>40.29</v>
      </c>
      <c r="H1381" t="str">
        <f t="shared" si="25"/>
        <v>GUARDIAN</v>
      </c>
    </row>
    <row r="1382" spans="5:8" x14ac:dyDescent="0.25">
      <c r="E1382" t="str">
        <f>"ADS202109295921"</f>
        <v>ADS202109295921</v>
      </c>
      <c r="F1382" t="str">
        <f t="shared" si="24"/>
        <v>GUARDIAN</v>
      </c>
      <c r="G1382" s="3">
        <v>0.53</v>
      </c>
      <c r="H1382" t="str">
        <f t="shared" si="25"/>
        <v>GUARDIAN</v>
      </c>
    </row>
    <row r="1383" spans="5:8" x14ac:dyDescent="0.25">
      <c r="E1383" t="str">
        <f>"ADS202110136441"</f>
        <v>ADS202110136441</v>
      </c>
      <c r="F1383" t="str">
        <f t="shared" si="24"/>
        <v>GUARDIAN</v>
      </c>
      <c r="G1383" s="3">
        <v>38.94</v>
      </c>
      <c r="H1383" t="str">
        <f t="shared" si="25"/>
        <v>GUARDIAN</v>
      </c>
    </row>
    <row r="1384" spans="5:8" x14ac:dyDescent="0.25">
      <c r="E1384" t="str">
        <f>"ADS202110136442"</f>
        <v>ADS202110136442</v>
      </c>
      <c r="F1384" t="str">
        <f t="shared" si="24"/>
        <v>GUARDIAN</v>
      </c>
      <c r="G1384" s="3">
        <v>0.53</v>
      </c>
      <c r="H1384" t="str">
        <f t="shared" si="25"/>
        <v>GUARDIAN</v>
      </c>
    </row>
    <row r="1385" spans="5:8" x14ac:dyDescent="0.25">
      <c r="E1385" t="str">
        <f>"GDC202109295920"</f>
        <v>GDC202109295920</v>
      </c>
      <c r="F1385" t="str">
        <f t="shared" si="24"/>
        <v>GUARDIAN</v>
      </c>
      <c r="G1385" s="3">
        <v>15.39</v>
      </c>
      <c r="H1385" t="str">
        <f t="shared" si="25"/>
        <v>GUARDIAN</v>
      </c>
    </row>
    <row r="1386" spans="5:8" x14ac:dyDescent="0.25">
      <c r="E1386" t="str">
        <f>""</f>
        <v/>
      </c>
      <c r="F1386" t="str">
        <f>""</f>
        <v/>
      </c>
      <c r="G1386" s="3">
        <v>14.67</v>
      </c>
      <c r="H1386" t="str">
        <f t="shared" si="25"/>
        <v>GUARDIAN</v>
      </c>
    </row>
    <row r="1387" spans="5:8" x14ac:dyDescent="0.25">
      <c r="E1387" t="str">
        <f>""</f>
        <v/>
      </c>
      <c r="F1387" t="str">
        <f>""</f>
        <v/>
      </c>
      <c r="G1387" s="3">
        <v>30.78</v>
      </c>
      <c r="H1387" t="str">
        <f t="shared" si="25"/>
        <v>GUARDIAN</v>
      </c>
    </row>
    <row r="1388" spans="5:8" x14ac:dyDescent="0.25">
      <c r="E1388" t="str">
        <f>""</f>
        <v/>
      </c>
      <c r="F1388" t="str">
        <f>""</f>
        <v/>
      </c>
      <c r="G1388" s="3">
        <v>61.56</v>
      </c>
      <c r="H1388" t="str">
        <f t="shared" si="25"/>
        <v>GUARDIAN</v>
      </c>
    </row>
    <row r="1389" spans="5:8" x14ac:dyDescent="0.25">
      <c r="E1389" t="str">
        <f>""</f>
        <v/>
      </c>
      <c r="F1389" t="str">
        <f>""</f>
        <v/>
      </c>
      <c r="G1389" s="3">
        <v>15.39</v>
      </c>
      <c r="H1389" t="str">
        <f t="shared" si="25"/>
        <v>GUARDIAN</v>
      </c>
    </row>
    <row r="1390" spans="5:8" x14ac:dyDescent="0.25">
      <c r="E1390" t="str">
        <f>""</f>
        <v/>
      </c>
      <c r="F1390" t="str">
        <f>""</f>
        <v/>
      </c>
      <c r="G1390" s="3">
        <v>13.21</v>
      </c>
      <c r="H1390" t="str">
        <f t="shared" si="25"/>
        <v>GUARDIAN</v>
      </c>
    </row>
    <row r="1391" spans="5:8" x14ac:dyDescent="0.25">
      <c r="E1391" t="str">
        <f>""</f>
        <v/>
      </c>
      <c r="F1391" t="str">
        <f>""</f>
        <v/>
      </c>
      <c r="G1391" s="3">
        <v>15.39</v>
      </c>
      <c r="H1391" t="str">
        <f t="shared" si="25"/>
        <v>GUARDIAN</v>
      </c>
    </row>
    <row r="1392" spans="5:8" x14ac:dyDescent="0.25">
      <c r="E1392" t="str">
        <f>""</f>
        <v/>
      </c>
      <c r="F1392" t="str">
        <f>""</f>
        <v/>
      </c>
      <c r="G1392" s="3">
        <v>30.78</v>
      </c>
      <c r="H1392" t="str">
        <f t="shared" si="25"/>
        <v>GUARDIAN</v>
      </c>
    </row>
    <row r="1393" spans="5:8" x14ac:dyDescent="0.25">
      <c r="E1393" t="str">
        <f>""</f>
        <v/>
      </c>
      <c r="F1393" t="str">
        <f>""</f>
        <v/>
      </c>
      <c r="G1393" s="3">
        <v>15.39</v>
      </c>
      <c r="H1393" t="str">
        <f t="shared" si="25"/>
        <v>GUARDIAN</v>
      </c>
    </row>
    <row r="1394" spans="5:8" x14ac:dyDescent="0.25">
      <c r="E1394" t="str">
        <f>""</f>
        <v/>
      </c>
      <c r="F1394" t="str">
        <f>""</f>
        <v/>
      </c>
      <c r="G1394" s="3">
        <v>30.78</v>
      </c>
      <c r="H1394" t="str">
        <f t="shared" si="25"/>
        <v>GUARDIAN</v>
      </c>
    </row>
    <row r="1395" spans="5:8" x14ac:dyDescent="0.25">
      <c r="E1395" t="str">
        <f>""</f>
        <v/>
      </c>
      <c r="F1395" t="str">
        <f>""</f>
        <v/>
      </c>
      <c r="G1395" s="3">
        <v>45.4</v>
      </c>
      <c r="H1395" t="str">
        <f t="shared" si="25"/>
        <v>GUARDIAN</v>
      </c>
    </row>
    <row r="1396" spans="5:8" x14ac:dyDescent="0.25">
      <c r="E1396" t="str">
        <f>""</f>
        <v/>
      </c>
      <c r="F1396" t="str">
        <f>""</f>
        <v/>
      </c>
      <c r="G1396" s="3">
        <v>46.17</v>
      </c>
      <c r="H1396" t="str">
        <f t="shared" si="25"/>
        <v>GUARDIAN</v>
      </c>
    </row>
    <row r="1397" spans="5:8" x14ac:dyDescent="0.25">
      <c r="E1397" t="str">
        <f>""</f>
        <v/>
      </c>
      <c r="F1397" t="str">
        <f>""</f>
        <v/>
      </c>
      <c r="G1397" s="3">
        <v>15.39</v>
      </c>
      <c r="H1397" t="str">
        <f t="shared" si="25"/>
        <v>GUARDIAN</v>
      </c>
    </row>
    <row r="1398" spans="5:8" x14ac:dyDescent="0.25">
      <c r="E1398" t="str">
        <f>""</f>
        <v/>
      </c>
      <c r="F1398" t="str">
        <f>""</f>
        <v/>
      </c>
      <c r="G1398" s="3">
        <v>61.56</v>
      </c>
      <c r="H1398" t="str">
        <f t="shared" si="25"/>
        <v>GUARDIAN</v>
      </c>
    </row>
    <row r="1399" spans="5:8" x14ac:dyDescent="0.25">
      <c r="E1399" t="str">
        <f>""</f>
        <v/>
      </c>
      <c r="F1399" t="str">
        <f>""</f>
        <v/>
      </c>
      <c r="G1399" s="3">
        <v>15.39</v>
      </c>
      <c r="H1399" t="str">
        <f t="shared" si="25"/>
        <v>GUARDIAN</v>
      </c>
    </row>
    <row r="1400" spans="5:8" x14ac:dyDescent="0.25">
      <c r="E1400" t="str">
        <f>""</f>
        <v/>
      </c>
      <c r="F1400" t="str">
        <f>""</f>
        <v/>
      </c>
      <c r="G1400" s="3">
        <v>30.78</v>
      </c>
      <c r="H1400" t="str">
        <f t="shared" si="25"/>
        <v>GUARDIAN</v>
      </c>
    </row>
    <row r="1401" spans="5:8" x14ac:dyDescent="0.25">
      <c r="E1401" t="str">
        <f>""</f>
        <v/>
      </c>
      <c r="F1401" t="str">
        <f>""</f>
        <v/>
      </c>
      <c r="G1401" s="3">
        <v>15.39</v>
      </c>
      <c r="H1401" t="str">
        <f t="shared" si="25"/>
        <v>GUARDIAN</v>
      </c>
    </row>
    <row r="1402" spans="5:8" x14ac:dyDescent="0.25">
      <c r="E1402" t="str">
        <f>""</f>
        <v/>
      </c>
      <c r="F1402" t="str">
        <f>""</f>
        <v/>
      </c>
      <c r="G1402" s="3">
        <v>61.56</v>
      </c>
      <c r="H1402" t="str">
        <f t="shared" si="25"/>
        <v>GUARDIAN</v>
      </c>
    </row>
    <row r="1403" spans="5:8" x14ac:dyDescent="0.25">
      <c r="E1403" t="str">
        <f>""</f>
        <v/>
      </c>
      <c r="F1403" t="str">
        <f>""</f>
        <v/>
      </c>
      <c r="G1403" s="3">
        <v>15.39</v>
      </c>
      <c r="H1403" t="str">
        <f t="shared" si="25"/>
        <v>GUARDIAN</v>
      </c>
    </row>
    <row r="1404" spans="5:8" x14ac:dyDescent="0.25">
      <c r="E1404" t="str">
        <f>""</f>
        <v/>
      </c>
      <c r="F1404" t="str">
        <f>""</f>
        <v/>
      </c>
      <c r="G1404" s="3">
        <v>216.3</v>
      </c>
      <c r="H1404" t="str">
        <f t="shared" si="25"/>
        <v>GUARDIAN</v>
      </c>
    </row>
    <row r="1405" spans="5:8" x14ac:dyDescent="0.25">
      <c r="E1405" t="str">
        <f>""</f>
        <v/>
      </c>
      <c r="F1405" t="str">
        <f>""</f>
        <v/>
      </c>
      <c r="G1405" s="3">
        <v>14.92</v>
      </c>
      <c r="H1405" t="str">
        <f t="shared" si="25"/>
        <v>GUARDIAN</v>
      </c>
    </row>
    <row r="1406" spans="5:8" x14ac:dyDescent="0.25">
      <c r="E1406" t="str">
        <f>""</f>
        <v/>
      </c>
      <c r="F1406" t="str">
        <f>""</f>
        <v/>
      </c>
      <c r="G1406" s="3">
        <v>224.62</v>
      </c>
      <c r="H1406" t="str">
        <f t="shared" si="25"/>
        <v>GUARDIAN</v>
      </c>
    </row>
    <row r="1407" spans="5:8" x14ac:dyDescent="0.25">
      <c r="E1407" t="str">
        <f>""</f>
        <v/>
      </c>
      <c r="F1407" t="str">
        <f>""</f>
        <v/>
      </c>
      <c r="G1407" s="3">
        <v>15.39</v>
      </c>
      <c r="H1407" t="str">
        <f t="shared" si="25"/>
        <v>GUARDIAN</v>
      </c>
    </row>
    <row r="1408" spans="5:8" x14ac:dyDescent="0.25">
      <c r="E1408" t="str">
        <f>""</f>
        <v/>
      </c>
      <c r="F1408" t="str">
        <f>""</f>
        <v/>
      </c>
      <c r="G1408" s="3">
        <v>15.39</v>
      </c>
      <c r="H1408" t="str">
        <f t="shared" si="25"/>
        <v>GUARDIAN</v>
      </c>
    </row>
    <row r="1409" spans="5:8" x14ac:dyDescent="0.25">
      <c r="E1409" t="str">
        <f>""</f>
        <v/>
      </c>
      <c r="F1409" t="str">
        <f>""</f>
        <v/>
      </c>
      <c r="G1409" s="3">
        <v>15.39</v>
      </c>
      <c r="H1409" t="str">
        <f t="shared" si="25"/>
        <v>GUARDIAN</v>
      </c>
    </row>
    <row r="1410" spans="5:8" x14ac:dyDescent="0.25">
      <c r="E1410" t="str">
        <f>""</f>
        <v/>
      </c>
      <c r="F1410" t="str">
        <f>""</f>
        <v/>
      </c>
      <c r="G1410" s="3">
        <v>0.72</v>
      </c>
      <c r="H1410" t="str">
        <f t="shared" si="25"/>
        <v>GUARDIAN</v>
      </c>
    </row>
    <row r="1411" spans="5:8" x14ac:dyDescent="0.25">
      <c r="E1411" t="str">
        <f>""</f>
        <v/>
      </c>
      <c r="F1411" t="str">
        <f>""</f>
        <v/>
      </c>
      <c r="G1411" s="3">
        <v>15.39</v>
      </c>
      <c r="H1411" t="str">
        <f t="shared" si="25"/>
        <v>GUARDIAN</v>
      </c>
    </row>
    <row r="1412" spans="5:8" x14ac:dyDescent="0.25">
      <c r="E1412" t="str">
        <f>""</f>
        <v/>
      </c>
      <c r="F1412" t="str">
        <f>""</f>
        <v/>
      </c>
      <c r="G1412" s="3">
        <v>46.17</v>
      </c>
      <c r="H1412" t="str">
        <f t="shared" si="25"/>
        <v>GUARDIAN</v>
      </c>
    </row>
    <row r="1413" spans="5:8" x14ac:dyDescent="0.25">
      <c r="E1413" t="str">
        <f>""</f>
        <v/>
      </c>
      <c r="F1413" t="str">
        <f>""</f>
        <v/>
      </c>
      <c r="G1413" s="3">
        <v>15.39</v>
      </c>
      <c r="H1413" t="str">
        <f t="shared" si="25"/>
        <v>GUARDIAN</v>
      </c>
    </row>
    <row r="1414" spans="5:8" x14ac:dyDescent="0.25">
      <c r="E1414" t="str">
        <f>""</f>
        <v/>
      </c>
      <c r="F1414" t="str">
        <f>""</f>
        <v/>
      </c>
      <c r="G1414" s="3">
        <v>15.39</v>
      </c>
      <c r="H1414" t="str">
        <f t="shared" si="25"/>
        <v>GUARDIAN</v>
      </c>
    </row>
    <row r="1415" spans="5:8" x14ac:dyDescent="0.25">
      <c r="E1415" t="str">
        <f>""</f>
        <v/>
      </c>
      <c r="F1415" t="str">
        <f>""</f>
        <v/>
      </c>
      <c r="G1415" s="3">
        <v>21.25</v>
      </c>
      <c r="H1415" t="str">
        <f t="shared" si="25"/>
        <v>GUARDIAN</v>
      </c>
    </row>
    <row r="1416" spans="5:8" x14ac:dyDescent="0.25">
      <c r="E1416" t="str">
        <f>""</f>
        <v/>
      </c>
      <c r="F1416" t="str">
        <f>""</f>
        <v/>
      </c>
      <c r="G1416" s="3">
        <v>0.21</v>
      </c>
      <c r="H1416" t="str">
        <f t="shared" si="25"/>
        <v>GUARDIAN</v>
      </c>
    </row>
    <row r="1417" spans="5:8" x14ac:dyDescent="0.25">
      <c r="E1417" t="str">
        <f>""</f>
        <v/>
      </c>
      <c r="F1417" t="str">
        <f>""</f>
        <v/>
      </c>
      <c r="G1417" s="3">
        <v>0.56000000000000005</v>
      </c>
      <c r="H1417" t="str">
        <f t="shared" si="25"/>
        <v>GUARDIAN</v>
      </c>
    </row>
    <row r="1418" spans="5:8" x14ac:dyDescent="0.25">
      <c r="E1418" t="str">
        <f>""</f>
        <v/>
      </c>
      <c r="F1418" t="str">
        <f>""</f>
        <v/>
      </c>
      <c r="G1418" s="3">
        <v>2.1800000000000002</v>
      </c>
      <c r="H1418" t="str">
        <f t="shared" si="25"/>
        <v>GUARDIAN</v>
      </c>
    </row>
    <row r="1419" spans="5:8" x14ac:dyDescent="0.25">
      <c r="E1419" t="str">
        <f>""</f>
        <v/>
      </c>
      <c r="F1419" t="str">
        <f>""</f>
        <v/>
      </c>
      <c r="G1419" s="3">
        <v>1411.32</v>
      </c>
      <c r="H1419" t="str">
        <f t="shared" si="25"/>
        <v>GUARDIAN</v>
      </c>
    </row>
    <row r="1420" spans="5:8" x14ac:dyDescent="0.25">
      <c r="E1420" t="str">
        <f>"GDC202109295921"</f>
        <v>GDC202109295921</v>
      </c>
      <c r="F1420" t="str">
        <f>"GUARDIAN"</f>
        <v>GUARDIAN</v>
      </c>
      <c r="G1420" s="3">
        <v>46.17</v>
      </c>
      <c r="H1420" t="str">
        <f t="shared" si="25"/>
        <v>GUARDIAN</v>
      </c>
    </row>
    <row r="1421" spans="5:8" x14ac:dyDescent="0.25">
      <c r="E1421" t="str">
        <f>""</f>
        <v/>
      </c>
      <c r="F1421" t="str">
        <f>""</f>
        <v/>
      </c>
      <c r="G1421" s="3">
        <v>55.71</v>
      </c>
      <c r="H1421" t="str">
        <f t="shared" si="25"/>
        <v>GUARDIAN</v>
      </c>
    </row>
    <row r="1422" spans="5:8" x14ac:dyDescent="0.25">
      <c r="E1422" t="str">
        <f>"GDC202110136441"</f>
        <v>GDC202110136441</v>
      </c>
      <c r="F1422" t="str">
        <f>"GUARDIAN"</f>
        <v>GUARDIAN</v>
      </c>
      <c r="G1422" s="3">
        <v>15.39</v>
      </c>
      <c r="H1422" t="str">
        <f t="shared" si="25"/>
        <v>GUARDIAN</v>
      </c>
    </row>
    <row r="1423" spans="5:8" x14ac:dyDescent="0.25">
      <c r="E1423" t="str">
        <f>""</f>
        <v/>
      </c>
      <c r="F1423" t="str">
        <f>""</f>
        <v/>
      </c>
      <c r="G1423" s="3">
        <v>14.65</v>
      </c>
      <c r="H1423" t="str">
        <f t="shared" si="25"/>
        <v>GUARDIAN</v>
      </c>
    </row>
    <row r="1424" spans="5:8" x14ac:dyDescent="0.25">
      <c r="E1424" t="str">
        <f>""</f>
        <v/>
      </c>
      <c r="F1424" t="str">
        <f>""</f>
        <v/>
      </c>
      <c r="G1424" s="3">
        <v>30.78</v>
      </c>
      <c r="H1424" t="str">
        <f t="shared" si="25"/>
        <v>GUARDIAN</v>
      </c>
    </row>
    <row r="1425" spans="5:8" x14ac:dyDescent="0.25">
      <c r="E1425" t="str">
        <f>""</f>
        <v/>
      </c>
      <c r="F1425" t="str">
        <f>""</f>
        <v/>
      </c>
      <c r="G1425" s="3">
        <v>61.56</v>
      </c>
      <c r="H1425" t="str">
        <f t="shared" si="25"/>
        <v>GUARDIAN</v>
      </c>
    </row>
    <row r="1426" spans="5:8" x14ac:dyDescent="0.25">
      <c r="E1426" t="str">
        <f>""</f>
        <v/>
      </c>
      <c r="F1426" t="str">
        <f>""</f>
        <v/>
      </c>
      <c r="G1426" s="3">
        <v>15.39</v>
      </c>
      <c r="H1426" t="str">
        <f t="shared" si="25"/>
        <v>GUARDIAN</v>
      </c>
    </row>
    <row r="1427" spans="5:8" x14ac:dyDescent="0.25">
      <c r="E1427" t="str">
        <f>""</f>
        <v/>
      </c>
      <c r="F1427" t="str">
        <f>""</f>
        <v/>
      </c>
      <c r="G1427" s="3">
        <v>13.18</v>
      </c>
      <c r="H1427" t="str">
        <f t="shared" si="25"/>
        <v>GUARDIAN</v>
      </c>
    </row>
    <row r="1428" spans="5:8" x14ac:dyDescent="0.25">
      <c r="E1428" t="str">
        <f>""</f>
        <v/>
      </c>
      <c r="F1428" t="str">
        <f>""</f>
        <v/>
      </c>
      <c r="G1428" s="3">
        <v>15.39</v>
      </c>
      <c r="H1428" t="str">
        <f t="shared" si="25"/>
        <v>GUARDIAN</v>
      </c>
    </row>
    <row r="1429" spans="5:8" x14ac:dyDescent="0.25">
      <c r="E1429" t="str">
        <f>""</f>
        <v/>
      </c>
      <c r="F1429" t="str">
        <f>""</f>
        <v/>
      </c>
      <c r="G1429" s="3">
        <v>30.78</v>
      </c>
      <c r="H1429" t="str">
        <f t="shared" si="25"/>
        <v>GUARDIAN</v>
      </c>
    </row>
    <row r="1430" spans="5:8" x14ac:dyDescent="0.25">
      <c r="E1430" t="str">
        <f>""</f>
        <v/>
      </c>
      <c r="F1430" t="str">
        <f>""</f>
        <v/>
      </c>
      <c r="G1430" s="3">
        <v>15.39</v>
      </c>
      <c r="H1430" t="str">
        <f t="shared" si="25"/>
        <v>GUARDIAN</v>
      </c>
    </row>
    <row r="1431" spans="5:8" x14ac:dyDescent="0.25">
      <c r="E1431" t="str">
        <f>""</f>
        <v/>
      </c>
      <c r="F1431" t="str">
        <f>""</f>
        <v/>
      </c>
      <c r="G1431" s="3">
        <v>30.78</v>
      </c>
      <c r="H1431" t="str">
        <f t="shared" si="25"/>
        <v>GUARDIAN</v>
      </c>
    </row>
    <row r="1432" spans="5:8" x14ac:dyDescent="0.25">
      <c r="E1432" t="str">
        <f>""</f>
        <v/>
      </c>
      <c r="F1432" t="str">
        <f>""</f>
        <v/>
      </c>
      <c r="G1432" s="3">
        <v>45.42</v>
      </c>
      <c r="H1432" t="str">
        <f t="shared" si="25"/>
        <v>GUARDIAN</v>
      </c>
    </row>
    <row r="1433" spans="5:8" x14ac:dyDescent="0.25">
      <c r="E1433" t="str">
        <f>""</f>
        <v/>
      </c>
      <c r="F1433" t="str">
        <f>""</f>
        <v/>
      </c>
      <c r="G1433" s="3">
        <v>46.17</v>
      </c>
      <c r="H1433" t="str">
        <f t="shared" si="25"/>
        <v>GUARDIAN</v>
      </c>
    </row>
    <row r="1434" spans="5:8" x14ac:dyDescent="0.25">
      <c r="E1434" t="str">
        <f>""</f>
        <v/>
      </c>
      <c r="F1434" t="str">
        <f>""</f>
        <v/>
      </c>
      <c r="G1434" s="3">
        <v>15.39</v>
      </c>
      <c r="H1434" t="str">
        <f t="shared" si="25"/>
        <v>GUARDIAN</v>
      </c>
    </row>
    <row r="1435" spans="5:8" x14ac:dyDescent="0.25">
      <c r="E1435" t="str">
        <f>""</f>
        <v/>
      </c>
      <c r="F1435" t="str">
        <f>""</f>
        <v/>
      </c>
      <c r="G1435" s="3">
        <v>61.56</v>
      </c>
      <c r="H1435" t="str">
        <f t="shared" si="25"/>
        <v>GUARDIAN</v>
      </c>
    </row>
    <row r="1436" spans="5:8" x14ac:dyDescent="0.25">
      <c r="E1436" t="str">
        <f>""</f>
        <v/>
      </c>
      <c r="F1436" t="str">
        <f>""</f>
        <v/>
      </c>
      <c r="G1436" s="3">
        <v>15.39</v>
      </c>
      <c r="H1436" t="str">
        <f t="shared" si="25"/>
        <v>GUARDIAN</v>
      </c>
    </row>
    <row r="1437" spans="5:8" x14ac:dyDescent="0.25">
      <c r="E1437" t="str">
        <f>""</f>
        <v/>
      </c>
      <c r="F1437" t="str">
        <f>""</f>
        <v/>
      </c>
      <c r="G1437" s="3">
        <v>30.78</v>
      </c>
      <c r="H1437" t="str">
        <f t="shared" ref="H1437:H1500" si="26">"GUARDIAN"</f>
        <v>GUARDIAN</v>
      </c>
    </row>
    <row r="1438" spans="5:8" x14ac:dyDescent="0.25">
      <c r="E1438" t="str">
        <f>""</f>
        <v/>
      </c>
      <c r="F1438" t="str">
        <f>""</f>
        <v/>
      </c>
      <c r="G1438" s="3">
        <v>15.39</v>
      </c>
      <c r="H1438" t="str">
        <f t="shared" si="26"/>
        <v>GUARDIAN</v>
      </c>
    </row>
    <row r="1439" spans="5:8" x14ac:dyDescent="0.25">
      <c r="E1439" t="str">
        <f>""</f>
        <v/>
      </c>
      <c r="F1439" t="str">
        <f>""</f>
        <v/>
      </c>
      <c r="G1439" s="3">
        <v>61.56</v>
      </c>
      <c r="H1439" t="str">
        <f t="shared" si="26"/>
        <v>GUARDIAN</v>
      </c>
    </row>
    <row r="1440" spans="5:8" x14ac:dyDescent="0.25">
      <c r="E1440" t="str">
        <f>""</f>
        <v/>
      </c>
      <c r="F1440" t="str">
        <f>""</f>
        <v/>
      </c>
      <c r="G1440" s="3">
        <v>15.39</v>
      </c>
      <c r="H1440" t="str">
        <f t="shared" si="26"/>
        <v>GUARDIAN</v>
      </c>
    </row>
    <row r="1441" spans="5:8" x14ac:dyDescent="0.25">
      <c r="E1441" t="str">
        <f>""</f>
        <v/>
      </c>
      <c r="F1441" t="str">
        <f>""</f>
        <v/>
      </c>
      <c r="G1441" s="3">
        <v>234.28</v>
      </c>
      <c r="H1441" t="str">
        <f t="shared" si="26"/>
        <v>GUARDIAN</v>
      </c>
    </row>
    <row r="1442" spans="5:8" x14ac:dyDescent="0.25">
      <c r="E1442" t="str">
        <f>""</f>
        <v/>
      </c>
      <c r="F1442" t="str">
        <f>""</f>
        <v/>
      </c>
      <c r="G1442" s="3">
        <v>14.93</v>
      </c>
      <c r="H1442" t="str">
        <f t="shared" si="26"/>
        <v>GUARDIAN</v>
      </c>
    </row>
    <row r="1443" spans="5:8" x14ac:dyDescent="0.25">
      <c r="E1443" t="str">
        <f>""</f>
        <v/>
      </c>
      <c r="F1443" t="str">
        <f>""</f>
        <v/>
      </c>
      <c r="G1443" s="3">
        <v>227.88</v>
      </c>
      <c r="H1443" t="str">
        <f t="shared" si="26"/>
        <v>GUARDIAN</v>
      </c>
    </row>
    <row r="1444" spans="5:8" x14ac:dyDescent="0.25">
      <c r="E1444" t="str">
        <f>""</f>
        <v/>
      </c>
      <c r="F1444" t="str">
        <f>""</f>
        <v/>
      </c>
      <c r="G1444" s="3">
        <v>15.39</v>
      </c>
      <c r="H1444" t="str">
        <f t="shared" si="26"/>
        <v>GUARDIAN</v>
      </c>
    </row>
    <row r="1445" spans="5:8" x14ac:dyDescent="0.25">
      <c r="E1445" t="str">
        <f>""</f>
        <v/>
      </c>
      <c r="F1445" t="str">
        <f>""</f>
        <v/>
      </c>
      <c r="G1445" s="3">
        <v>15.39</v>
      </c>
      <c r="H1445" t="str">
        <f t="shared" si="26"/>
        <v>GUARDIAN</v>
      </c>
    </row>
    <row r="1446" spans="5:8" x14ac:dyDescent="0.25">
      <c r="E1446" t="str">
        <f>""</f>
        <v/>
      </c>
      <c r="F1446" t="str">
        <f>""</f>
        <v/>
      </c>
      <c r="G1446" s="3">
        <v>15.39</v>
      </c>
      <c r="H1446" t="str">
        <f t="shared" si="26"/>
        <v>GUARDIAN</v>
      </c>
    </row>
    <row r="1447" spans="5:8" x14ac:dyDescent="0.25">
      <c r="E1447" t="str">
        <f>""</f>
        <v/>
      </c>
      <c r="F1447" t="str">
        <f>""</f>
        <v/>
      </c>
      <c r="G1447" s="3">
        <v>15.39</v>
      </c>
      <c r="H1447" t="str">
        <f t="shared" si="26"/>
        <v>GUARDIAN</v>
      </c>
    </row>
    <row r="1448" spans="5:8" x14ac:dyDescent="0.25">
      <c r="E1448" t="str">
        <f>""</f>
        <v/>
      </c>
      <c r="F1448" t="str">
        <f>""</f>
        <v/>
      </c>
      <c r="G1448" s="3">
        <v>0.74</v>
      </c>
      <c r="H1448" t="str">
        <f t="shared" si="26"/>
        <v>GUARDIAN</v>
      </c>
    </row>
    <row r="1449" spans="5:8" x14ac:dyDescent="0.25">
      <c r="E1449" t="str">
        <f>""</f>
        <v/>
      </c>
      <c r="F1449" t="str">
        <f>""</f>
        <v/>
      </c>
      <c r="G1449" s="3">
        <v>15.39</v>
      </c>
      <c r="H1449" t="str">
        <f t="shared" si="26"/>
        <v>GUARDIAN</v>
      </c>
    </row>
    <row r="1450" spans="5:8" x14ac:dyDescent="0.25">
      <c r="E1450" t="str">
        <f>""</f>
        <v/>
      </c>
      <c r="F1450" t="str">
        <f>""</f>
        <v/>
      </c>
      <c r="G1450" s="3">
        <v>46.17</v>
      </c>
      <c r="H1450" t="str">
        <f t="shared" si="26"/>
        <v>GUARDIAN</v>
      </c>
    </row>
    <row r="1451" spans="5:8" x14ac:dyDescent="0.25">
      <c r="E1451" t="str">
        <f>""</f>
        <v/>
      </c>
      <c r="F1451" t="str">
        <f>""</f>
        <v/>
      </c>
      <c r="G1451" s="3">
        <v>15.39</v>
      </c>
      <c r="H1451" t="str">
        <f t="shared" si="26"/>
        <v>GUARDIAN</v>
      </c>
    </row>
    <row r="1452" spans="5:8" x14ac:dyDescent="0.25">
      <c r="E1452" t="str">
        <f>""</f>
        <v/>
      </c>
      <c r="F1452" t="str">
        <f>""</f>
        <v/>
      </c>
      <c r="G1452" s="3">
        <v>0.2</v>
      </c>
      <c r="H1452" t="str">
        <f t="shared" si="26"/>
        <v>GUARDIAN</v>
      </c>
    </row>
    <row r="1453" spans="5:8" x14ac:dyDescent="0.25">
      <c r="E1453" t="str">
        <f>""</f>
        <v/>
      </c>
      <c r="F1453" t="str">
        <f>""</f>
        <v/>
      </c>
      <c r="G1453" s="3">
        <v>0.55000000000000004</v>
      </c>
      <c r="H1453" t="str">
        <f t="shared" si="26"/>
        <v>GUARDIAN</v>
      </c>
    </row>
    <row r="1454" spans="5:8" x14ac:dyDescent="0.25">
      <c r="E1454" t="str">
        <f>""</f>
        <v/>
      </c>
      <c r="F1454" t="str">
        <f>""</f>
        <v/>
      </c>
      <c r="G1454" s="3">
        <v>2.21</v>
      </c>
      <c r="H1454" t="str">
        <f t="shared" si="26"/>
        <v>GUARDIAN</v>
      </c>
    </row>
    <row r="1455" spans="5:8" x14ac:dyDescent="0.25">
      <c r="E1455" t="str">
        <f>""</f>
        <v/>
      </c>
      <c r="F1455" t="str">
        <f>""</f>
        <v/>
      </c>
      <c r="G1455" s="3">
        <v>1411.32</v>
      </c>
      <c r="H1455" t="str">
        <f t="shared" si="26"/>
        <v>GUARDIAN</v>
      </c>
    </row>
    <row r="1456" spans="5:8" x14ac:dyDescent="0.25">
      <c r="E1456" t="str">
        <f>"GDC202110136442"</f>
        <v>GDC202110136442</v>
      </c>
      <c r="F1456" t="str">
        <f>"GUARDIAN"</f>
        <v>GUARDIAN</v>
      </c>
      <c r="G1456" s="3">
        <v>46.17</v>
      </c>
      <c r="H1456" t="str">
        <f t="shared" si="26"/>
        <v>GUARDIAN</v>
      </c>
    </row>
    <row r="1457" spans="5:8" x14ac:dyDescent="0.25">
      <c r="E1457" t="str">
        <f>""</f>
        <v/>
      </c>
      <c r="F1457" t="str">
        <f>""</f>
        <v/>
      </c>
      <c r="G1457" s="3">
        <v>55.71</v>
      </c>
      <c r="H1457" t="str">
        <f t="shared" si="26"/>
        <v>GUARDIAN</v>
      </c>
    </row>
    <row r="1458" spans="5:8" x14ac:dyDescent="0.25">
      <c r="E1458" t="str">
        <f>"GDE202109295920"</f>
        <v>GDE202109295920</v>
      </c>
      <c r="F1458" t="str">
        <f>"GUARDIAN"</f>
        <v>GUARDIAN</v>
      </c>
      <c r="G1458" s="3">
        <v>15.39</v>
      </c>
      <c r="H1458" t="str">
        <f t="shared" si="26"/>
        <v>GUARDIAN</v>
      </c>
    </row>
    <row r="1459" spans="5:8" x14ac:dyDescent="0.25">
      <c r="E1459" t="str">
        <f>""</f>
        <v/>
      </c>
      <c r="F1459" t="str">
        <f>""</f>
        <v/>
      </c>
      <c r="G1459" s="3">
        <v>20.010000000000002</v>
      </c>
      <c r="H1459" t="str">
        <f t="shared" si="26"/>
        <v>GUARDIAN</v>
      </c>
    </row>
    <row r="1460" spans="5:8" x14ac:dyDescent="0.25">
      <c r="E1460" t="str">
        <f>""</f>
        <v/>
      </c>
      <c r="F1460" t="str">
        <f>""</f>
        <v/>
      </c>
      <c r="G1460" s="3">
        <v>91.4</v>
      </c>
      <c r="H1460" t="str">
        <f t="shared" si="26"/>
        <v>GUARDIAN</v>
      </c>
    </row>
    <row r="1461" spans="5:8" x14ac:dyDescent="0.25">
      <c r="E1461" t="str">
        <f>""</f>
        <v/>
      </c>
      <c r="F1461" t="str">
        <f>""</f>
        <v/>
      </c>
      <c r="G1461" s="3">
        <v>30.78</v>
      </c>
      <c r="H1461" t="str">
        <f t="shared" si="26"/>
        <v>GUARDIAN</v>
      </c>
    </row>
    <row r="1462" spans="5:8" x14ac:dyDescent="0.25">
      <c r="E1462" t="str">
        <f>""</f>
        <v/>
      </c>
      <c r="F1462" t="str">
        <f>""</f>
        <v/>
      </c>
      <c r="G1462" s="3">
        <v>30.78</v>
      </c>
      <c r="H1462" t="str">
        <f t="shared" si="26"/>
        <v>GUARDIAN</v>
      </c>
    </row>
    <row r="1463" spans="5:8" x14ac:dyDescent="0.25">
      <c r="E1463" t="str">
        <f>""</f>
        <v/>
      </c>
      <c r="F1463" t="str">
        <f>""</f>
        <v/>
      </c>
      <c r="G1463" s="3">
        <v>30.78</v>
      </c>
      <c r="H1463" t="str">
        <f t="shared" si="26"/>
        <v>GUARDIAN</v>
      </c>
    </row>
    <row r="1464" spans="5:8" x14ac:dyDescent="0.25">
      <c r="E1464" t="str">
        <f>""</f>
        <v/>
      </c>
      <c r="F1464" t="str">
        <f>""</f>
        <v/>
      </c>
      <c r="G1464" s="3">
        <v>215.46</v>
      </c>
      <c r="H1464" t="str">
        <f t="shared" si="26"/>
        <v>GUARDIAN</v>
      </c>
    </row>
    <row r="1465" spans="5:8" x14ac:dyDescent="0.25">
      <c r="E1465" t="str">
        <f>""</f>
        <v/>
      </c>
      <c r="F1465" t="str">
        <f>""</f>
        <v/>
      </c>
      <c r="G1465" s="3">
        <v>15.39</v>
      </c>
      <c r="H1465" t="str">
        <f t="shared" si="26"/>
        <v>GUARDIAN</v>
      </c>
    </row>
    <row r="1466" spans="5:8" x14ac:dyDescent="0.25">
      <c r="E1466" t="str">
        <f>""</f>
        <v/>
      </c>
      <c r="F1466" t="str">
        <f>""</f>
        <v/>
      </c>
      <c r="G1466" s="3">
        <v>61.56</v>
      </c>
      <c r="H1466" t="str">
        <f t="shared" si="26"/>
        <v>GUARDIAN</v>
      </c>
    </row>
    <row r="1467" spans="5:8" x14ac:dyDescent="0.25">
      <c r="E1467" t="str">
        <f>""</f>
        <v/>
      </c>
      <c r="F1467" t="str">
        <f>""</f>
        <v/>
      </c>
      <c r="G1467" s="3">
        <v>107.73</v>
      </c>
      <c r="H1467" t="str">
        <f t="shared" si="26"/>
        <v>GUARDIAN</v>
      </c>
    </row>
    <row r="1468" spans="5:8" x14ac:dyDescent="0.25">
      <c r="E1468" t="str">
        <f>""</f>
        <v/>
      </c>
      <c r="F1468" t="str">
        <f>""</f>
        <v/>
      </c>
      <c r="G1468" s="3">
        <v>30.78</v>
      </c>
      <c r="H1468" t="str">
        <f t="shared" si="26"/>
        <v>GUARDIAN</v>
      </c>
    </row>
    <row r="1469" spans="5:8" x14ac:dyDescent="0.25">
      <c r="E1469" t="str">
        <f>""</f>
        <v/>
      </c>
      <c r="F1469" t="str">
        <f>""</f>
        <v/>
      </c>
      <c r="G1469" s="3">
        <v>46.17</v>
      </c>
      <c r="H1469" t="str">
        <f t="shared" si="26"/>
        <v>GUARDIAN</v>
      </c>
    </row>
    <row r="1470" spans="5:8" x14ac:dyDescent="0.25">
      <c r="E1470" t="str">
        <f>""</f>
        <v/>
      </c>
      <c r="F1470" t="str">
        <f>""</f>
        <v/>
      </c>
      <c r="G1470" s="3">
        <v>30.78</v>
      </c>
      <c r="H1470" t="str">
        <f t="shared" si="26"/>
        <v>GUARDIAN</v>
      </c>
    </row>
    <row r="1471" spans="5:8" x14ac:dyDescent="0.25">
      <c r="E1471" t="str">
        <f>""</f>
        <v/>
      </c>
      <c r="F1471" t="str">
        <f>""</f>
        <v/>
      </c>
      <c r="G1471" s="3">
        <v>30.78</v>
      </c>
      <c r="H1471" t="str">
        <f t="shared" si="26"/>
        <v>GUARDIAN</v>
      </c>
    </row>
    <row r="1472" spans="5:8" x14ac:dyDescent="0.25">
      <c r="E1472" t="str">
        <f>""</f>
        <v/>
      </c>
      <c r="F1472" t="str">
        <f>""</f>
        <v/>
      </c>
      <c r="G1472" s="3">
        <v>30.78</v>
      </c>
      <c r="H1472" t="str">
        <f t="shared" si="26"/>
        <v>GUARDIAN</v>
      </c>
    </row>
    <row r="1473" spans="5:8" x14ac:dyDescent="0.25">
      <c r="E1473" t="str">
        <f>""</f>
        <v/>
      </c>
      <c r="F1473" t="str">
        <f>""</f>
        <v/>
      </c>
      <c r="G1473" s="3">
        <v>163.43</v>
      </c>
      <c r="H1473" t="str">
        <f t="shared" si="26"/>
        <v>GUARDIAN</v>
      </c>
    </row>
    <row r="1474" spans="5:8" x14ac:dyDescent="0.25">
      <c r="E1474" t="str">
        <f>""</f>
        <v/>
      </c>
      <c r="F1474" t="str">
        <f>""</f>
        <v/>
      </c>
      <c r="G1474" s="3">
        <v>30.78</v>
      </c>
      <c r="H1474" t="str">
        <f t="shared" si="26"/>
        <v>GUARDIAN</v>
      </c>
    </row>
    <row r="1475" spans="5:8" x14ac:dyDescent="0.25">
      <c r="E1475" t="str">
        <f>""</f>
        <v/>
      </c>
      <c r="F1475" t="str">
        <f>""</f>
        <v/>
      </c>
      <c r="G1475" s="3">
        <v>30.78</v>
      </c>
      <c r="H1475" t="str">
        <f t="shared" si="26"/>
        <v>GUARDIAN</v>
      </c>
    </row>
    <row r="1476" spans="5:8" x14ac:dyDescent="0.25">
      <c r="E1476" t="str">
        <f>""</f>
        <v/>
      </c>
      <c r="F1476" t="str">
        <f>""</f>
        <v/>
      </c>
      <c r="G1476" s="3">
        <v>15.39</v>
      </c>
      <c r="H1476" t="str">
        <f t="shared" si="26"/>
        <v>GUARDIAN</v>
      </c>
    </row>
    <row r="1477" spans="5:8" x14ac:dyDescent="0.25">
      <c r="E1477" t="str">
        <f>""</f>
        <v/>
      </c>
      <c r="F1477" t="str">
        <f>""</f>
        <v/>
      </c>
      <c r="G1477" s="3">
        <v>76.95</v>
      </c>
      <c r="H1477" t="str">
        <f t="shared" si="26"/>
        <v>GUARDIAN</v>
      </c>
    </row>
    <row r="1478" spans="5:8" x14ac:dyDescent="0.25">
      <c r="E1478" t="str">
        <f>""</f>
        <v/>
      </c>
      <c r="F1478" t="str">
        <f>""</f>
        <v/>
      </c>
      <c r="G1478" s="3">
        <v>30.78</v>
      </c>
      <c r="H1478" t="str">
        <f t="shared" si="26"/>
        <v>GUARDIAN</v>
      </c>
    </row>
    <row r="1479" spans="5:8" x14ac:dyDescent="0.25">
      <c r="E1479" t="str">
        <f>""</f>
        <v/>
      </c>
      <c r="F1479" t="str">
        <f>""</f>
        <v/>
      </c>
      <c r="G1479" s="3">
        <v>92.34</v>
      </c>
      <c r="H1479" t="str">
        <f t="shared" si="26"/>
        <v>GUARDIAN</v>
      </c>
    </row>
    <row r="1480" spans="5:8" x14ac:dyDescent="0.25">
      <c r="E1480" t="str">
        <f>""</f>
        <v/>
      </c>
      <c r="F1480" t="str">
        <f>""</f>
        <v/>
      </c>
      <c r="G1480" s="3">
        <v>153.9</v>
      </c>
      <c r="H1480" t="str">
        <f t="shared" si="26"/>
        <v>GUARDIAN</v>
      </c>
    </row>
    <row r="1481" spans="5:8" x14ac:dyDescent="0.25">
      <c r="E1481" t="str">
        <f>""</f>
        <v/>
      </c>
      <c r="F1481" t="str">
        <f>""</f>
        <v/>
      </c>
      <c r="G1481" s="3">
        <v>231.1</v>
      </c>
      <c r="H1481" t="str">
        <f t="shared" si="26"/>
        <v>GUARDIAN</v>
      </c>
    </row>
    <row r="1482" spans="5:8" x14ac:dyDescent="0.25">
      <c r="E1482" t="str">
        <f>""</f>
        <v/>
      </c>
      <c r="F1482" t="str">
        <f>""</f>
        <v/>
      </c>
      <c r="G1482" s="3">
        <v>15.39</v>
      </c>
      <c r="H1482" t="str">
        <f t="shared" si="26"/>
        <v>GUARDIAN</v>
      </c>
    </row>
    <row r="1483" spans="5:8" x14ac:dyDescent="0.25">
      <c r="E1483" t="str">
        <f>""</f>
        <v/>
      </c>
      <c r="F1483" t="str">
        <f>""</f>
        <v/>
      </c>
      <c r="G1483" s="3">
        <v>844.73</v>
      </c>
      <c r="H1483" t="str">
        <f t="shared" si="26"/>
        <v>GUARDIAN</v>
      </c>
    </row>
    <row r="1484" spans="5:8" x14ac:dyDescent="0.25">
      <c r="E1484" t="str">
        <f>""</f>
        <v/>
      </c>
      <c r="F1484" t="str">
        <f>""</f>
        <v/>
      </c>
      <c r="G1484" s="3">
        <v>45.7</v>
      </c>
      <c r="H1484" t="str">
        <f t="shared" si="26"/>
        <v>GUARDIAN</v>
      </c>
    </row>
    <row r="1485" spans="5:8" x14ac:dyDescent="0.25">
      <c r="E1485" t="str">
        <f>""</f>
        <v/>
      </c>
      <c r="F1485" t="str">
        <f>""</f>
        <v/>
      </c>
      <c r="G1485" s="3">
        <v>789.66</v>
      </c>
      <c r="H1485" t="str">
        <f t="shared" si="26"/>
        <v>GUARDIAN</v>
      </c>
    </row>
    <row r="1486" spans="5:8" x14ac:dyDescent="0.25">
      <c r="E1486" t="str">
        <f>""</f>
        <v/>
      </c>
      <c r="F1486" t="str">
        <f>""</f>
        <v/>
      </c>
      <c r="G1486" s="3">
        <v>230.85</v>
      </c>
      <c r="H1486" t="str">
        <f t="shared" si="26"/>
        <v>GUARDIAN</v>
      </c>
    </row>
    <row r="1487" spans="5:8" x14ac:dyDescent="0.25">
      <c r="E1487" t="str">
        <f>""</f>
        <v/>
      </c>
      <c r="F1487" t="str">
        <f>""</f>
        <v/>
      </c>
      <c r="G1487" s="3">
        <v>30.78</v>
      </c>
      <c r="H1487" t="str">
        <f t="shared" si="26"/>
        <v>GUARDIAN</v>
      </c>
    </row>
    <row r="1488" spans="5:8" x14ac:dyDescent="0.25">
      <c r="E1488" t="str">
        <f>""</f>
        <v/>
      </c>
      <c r="F1488" t="str">
        <f>""</f>
        <v/>
      </c>
      <c r="G1488" s="3">
        <v>30.78</v>
      </c>
      <c r="H1488" t="str">
        <f t="shared" si="26"/>
        <v>GUARDIAN</v>
      </c>
    </row>
    <row r="1489" spans="5:8" x14ac:dyDescent="0.25">
      <c r="E1489" t="str">
        <f>""</f>
        <v/>
      </c>
      <c r="F1489" t="str">
        <f>""</f>
        <v/>
      </c>
      <c r="G1489" s="3">
        <v>15.39</v>
      </c>
      <c r="H1489" t="str">
        <f t="shared" si="26"/>
        <v>GUARDIAN</v>
      </c>
    </row>
    <row r="1490" spans="5:8" x14ac:dyDescent="0.25">
      <c r="E1490" t="str">
        <f>""</f>
        <v/>
      </c>
      <c r="F1490" t="str">
        <f>""</f>
        <v/>
      </c>
      <c r="G1490" s="3">
        <v>30.78</v>
      </c>
      <c r="H1490" t="str">
        <f t="shared" si="26"/>
        <v>GUARDIAN</v>
      </c>
    </row>
    <row r="1491" spans="5:8" x14ac:dyDescent="0.25">
      <c r="E1491" t="str">
        <f>""</f>
        <v/>
      </c>
      <c r="F1491" t="str">
        <f>""</f>
        <v/>
      </c>
      <c r="G1491" s="3">
        <v>15.39</v>
      </c>
      <c r="H1491" t="str">
        <f t="shared" si="26"/>
        <v>GUARDIAN</v>
      </c>
    </row>
    <row r="1492" spans="5:8" x14ac:dyDescent="0.25">
      <c r="E1492" t="str">
        <f>""</f>
        <v/>
      </c>
      <c r="F1492" t="str">
        <f>""</f>
        <v/>
      </c>
      <c r="G1492" s="3">
        <v>0.94</v>
      </c>
      <c r="H1492" t="str">
        <f t="shared" si="26"/>
        <v>GUARDIAN</v>
      </c>
    </row>
    <row r="1493" spans="5:8" x14ac:dyDescent="0.25">
      <c r="E1493" t="str">
        <f>""</f>
        <v/>
      </c>
      <c r="F1493" t="str">
        <f>""</f>
        <v/>
      </c>
      <c r="G1493" s="3">
        <v>80.64</v>
      </c>
      <c r="H1493" t="str">
        <f t="shared" si="26"/>
        <v>GUARDIAN</v>
      </c>
    </row>
    <row r="1494" spans="5:8" x14ac:dyDescent="0.25">
      <c r="E1494" t="str">
        <f>""</f>
        <v/>
      </c>
      <c r="F1494" t="str">
        <f>""</f>
        <v/>
      </c>
      <c r="G1494" s="3">
        <v>104.89</v>
      </c>
      <c r="H1494" t="str">
        <f t="shared" si="26"/>
        <v>GUARDIAN</v>
      </c>
    </row>
    <row r="1495" spans="5:8" x14ac:dyDescent="0.25">
      <c r="E1495" t="str">
        <f>""</f>
        <v/>
      </c>
      <c r="F1495" t="str">
        <f>""</f>
        <v/>
      </c>
      <c r="G1495" s="3">
        <v>166.31</v>
      </c>
      <c r="H1495" t="str">
        <f t="shared" si="26"/>
        <v>GUARDIAN</v>
      </c>
    </row>
    <row r="1496" spans="5:8" x14ac:dyDescent="0.25">
      <c r="E1496" t="str">
        <f>""</f>
        <v/>
      </c>
      <c r="F1496" t="str">
        <f>""</f>
        <v/>
      </c>
      <c r="G1496" s="3">
        <v>151.16</v>
      </c>
      <c r="H1496" t="str">
        <f t="shared" si="26"/>
        <v>GUARDIAN</v>
      </c>
    </row>
    <row r="1497" spans="5:8" x14ac:dyDescent="0.25">
      <c r="E1497" t="str">
        <f>""</f>
        <v/>
      </c>
      <c r="F1497" t="str">
        <f>""</f>
        <v/>
      </c>
      <c r="G1497" s="3">
        <v>15.39</v>
      </c>
      <c r="H1497" t="str">
        <f t="shared" si="26"/>
        <v>GUARDIAN</v>
      </c>
    </row>
    <row r="1498" spans="5:8" x14ac:dyDescent="0.25">
      <c r="E1498" t="str">
        <f>""</f>
        <v/>
      </c>
      <c r="F1498" t="str">
        <f>""</f>
        <v/>
      </c>
      <c r="G1498" s="3">
        <v>105.21</v>
      </c>
      <c r="H1498" t="str">
        <f t="shared" si="26"/>
        <v>GUARDIAN</v>
      </c>
    </row>
    <row r="1499" spans="5:8" x14ac:dyDescent="0.25">
      <c r="E1499" t="str">
        <f>""</f>
        <v/>
      </c>
      <c r="F1499" t="str">
        <f>""</f>
        <v/>
      </c>
      <c r="G1499" s="3">
        <v>5.28</v>
      </c>
      <c r="H1499" t="str">
        <f t="shared" si="26"/>
        <v>GUARDIAN</v>
      </c>
    </row>
    <row r="1500" spans="5:8" x14ac:dyDescent="0.25">
      <c r="E1500" t="str">
        <f>""</f>
        <v/>
      </c>
      <c r="F1500" t="str">
        <f>""</f>
        <v/>
      </c>
      <c r="G1500" s="3">
        <v>0.57999999999999996</v>
      </c>
      <c r="H1500" t="str">
        <f t="shared" si="26"/>
        <v>GUARDIAN</v>
      </c>
    </row>
    <row r="1501" spans="5:8" x14ac:dyDescent="0.25">
      <c r="E1501" t="str">
        <f>""</f>
        <v/>
      </c>
      <c r="F1501" t="str">
        <f>""</f>
        <v/>
      </c>
      <c r="G1501" s="3">
        <v>15.33</v>
      </c>
      <c r="H1501" t="str">
        <f t="shared" ref="H1501:H1564" si="27">"GUARDIAN"</f>
        <v>GUARDIAN</v>
      </c>
    </row>
    <row r="1502" spans="5:8" x14ac:dyDescent="0.25">
      <c r="E1502" t="str">
        <f>"GDE202109295921"</f>
        <v>GDE202109295921</v>
      </c>
      <c r="F1502" t="str">
        <f>"GUARDIAN"</f>
        <v>GUARDIAN</v>
      </c>
      <c r="G1502" s="3">
        <v>138.51</v>
      </c>
      <c r="H1502" t="str">
        <f t="shared" si="27"/>
        <v>GUARDIAN</v>
      </c>
    </row>
    <row r="1503" spans="5:8" x14ac:dyDescent="0.25">
      <c r="E1503" t="str">
        <f>"GDE202110136441"</f>
        <v>GDE202110136441</v>
      </c>
      <c r="F1503" t="str">
        <f>"GUARDIAN"</f>
        <v>GUARDIAN</v>
      </c>
      <c r="G1503" s="3">
        <v>15.39</v>
      </c>
      <c r="H1503" t="str">
        <f t="shared" si="27"/>
        <v>GUARDIAN</v>
      </c>
    </row>
    <row r="1504" spans="5:8" x14ac:dyDescent="0.25">
      <c r="E1504" t="str">
        <f>""</f>
        <v/>
      </c>
      <c r="F1504" t="str">
        <f>""</f>
        <v/>
      </c>
      <c r="G1504" s="3">
        <v>20.04</v>
      </c>
      <c r="H1504" t="str">
        <f t="shared" si="27"/>
        <v>GUARDIAN</v>
      </c>
    </row>
    <row r="1505" spans="5:8" x14ac:dyDescent="0.25">
      <c r="E1505" t="str">
        <f>""</f>
        <v/>
      </c>
      <c r="F1505" t="str">
        <f>""</f>
        <v/>
      </c>
      <c r="G1505" s="3">
        <v>91.23</v>
      </c>
      <c r="H1505" t="str">
        <f t="shared" si="27"/>
        <v>GUARDIAN</v>
      </c>
    </row>
    <row r="1506" spans="5:8" x14ac:dyDescent="0.25">
      <c r="E1506" t="str">
        <f>""</f>
        <v/>
      </c>
      <c r="F1506" t="str">
        <f>""</f>
        <v/>
      </c>
      <c r="G1506" s="3">
        <v>30.78</v>
      </c>
      <c r="H1506" t="str">
        <f t="shared" si="27"/>
        <v>GUARDIAN</v>
      </c>
    </row>
    <row r="1507" spans="5:8" x14ac:dyDescent="0.25">
      <c r="E1507" t="str">
        <f>""</f>
        <v/>
      </c>
      <c r="F1507" t="str">
        <f>""</f>
        <v/>
      </c>
      <c r="G1507" s="3">
        <v>30.78</v>
      </c>
      <c r="H1507" t="str">
        <f t="shared" si="27"/>
        <v>GUARDIAN</v>
      </c>
    </row>
    <row r="1508" spans="5:8" x14ac:dyDescent="0.25">
      <c r="E1508" t="str">
        <f>""</f>
        <v/>
      </c>
      <c r="F1508" t="str">
        <f>""</f>
        <v/>
      </c>
      <c r="G1508" s="3">
        <v>22.84</v>
      </c>
      <c r="H1508" t="str">
        <f t="shared" si="27"/>
        <v>GUARDIAN</v>
      </c>
    </row>
    <row r="1509" spans="5:8" x14ac:dyDescent="0.25">
      <c r="E1509" t="str">
        <f>""</f>
        <v/>
      </c>
      <c r="F1509" t="str">
        <f>""</f>
        <v/>
      </c>
      <c r="G1509" s="3">
        <v>215.46</v>
      </c>
      <c r="H1509" t="str">
        <f t="shared" si="27"/>
        <v>GUARDIAN</v>
      </c>
    </row>
    <row r="1510" spans="5:8" x14ac:dyDescent="0.25">
      <c r="E1510" t="str">
        <f>""</f>
        <v/>
      </c>
      <c r="F1510" t="str">
        <f>""</f>
        <v/>
      </c>
      <c r="G1510" s="3">
        <v>15.39</v>
      </c>
      <c r="H1510" t="str">
        <f t="shared" si="27"/>
        <v>GUARDIAN</v>
      </c>
    </row>
    <row r="1511" spans="5:8" x14ac:dyDescent="0.25">
      <c r="E1511" t="str">
        <f>""</f>
        <v/>
      </c>
      <c r="F1511" t="str">
        <f>""</f>
        <v/>
      </c>
      <c r="G1511" s="3">
        <v>62.97</v>
      </c>
      <c r="H1511" t="str">
        <f t="shared" si="27"/>
        <v>GUARDIAN</v>
      </c>
    </row>
    <row r="1512" spans="5:8" x14ac:dyDescent="0.25">
      <c r="E1512" t="str">
        <f>""</f>
        <v/>
      </c>
      <c r="F1512" t="str">
        <f>""</f>
        <v/>
      </c>
      <c r="G1512" s="3">
        <v>107.73</v>
      </c>
      <c r="H1512" t="str">
        <f t="shared" si="27"/>
        <v>GUARDIAN</v>
      </c>
    </row>
    <row r="1513" spans="5:8" x14ac:dyDescent="0.25">
      <c r="E1513" t="str">
        <f>""</f>
        <v/>
      </c>
      <c r="F1513" t="str">
        <f>""</f>
        <v/>
      </c>
      <c r="G1513" s="3">
        <v>30.78</v>
      </c>
      <c r="H1513" t="str">
        <f t="shared" si="27"/>
        <v>GUARDIAN</v>
      </c>
    </row>
    <row r="1514" spans="5:8" x14ac:dyDescent="0.25">
      <c r="E1514" t="str">
        <f>""</f>
        <v/>
      </c>
      <c r="F1514" t="str">
        <f>""</f>
        <v/>
      </c>
      <c r="G1514" s="3">
        <v>61.56</v>
      </c>
      <c r="H1514" t="str">
        <f t="shared" si="27"/>
        <v>GUARDIAN</v>
      </c>
    </row>
    <row r="1515" spans="5:8" x14ac:dyDescent="0.25">
      <c r="E1515" t="str">
        <f>""</f>
        <v/>
      </c>
      <c r="F1515" t="str">
        <f>""</f>
        <v/>
      </c>
      <c r="G1515" s="3">
        <v>30.78</v>
      </c>
      <c r="H1515" t="str">
        <f t="shared" si="27"/>
        <v>GUARDIAN</v>
      </c>
    </row>
    <row r="1516" spans="5:8" x14ac:dyDescent="0.25">
      <c r="E1516" t="str">
        <f>""</f>
        <v/>
      </c>
      <c r="F1516" t="str">
        <f>""</f>
        <v/>
      </c>
      <c r="G1516" s="3">
        <v>30.78</v>
      </c>
      <c r="H1516" t="str">
        <f t="shared" si="27"/>
        <v>GUARDIAN</v>
      </c>
    </row>
    <row r="1517" spans="5:8" x14ac:dyDescent="0.25">
      <c r="E1517" t="str">
        <f>""</f>
        <v/>
      </c>
      <c r="F1517" t="str">
        <f>""</f>
        <v/>
      </c>
      <c r="G1517" s="3">
        <v>30.78</v>
      </c>
      <c r="H1517" t="str">
        <f t="shared" si="27"/>
        <v>GUARDIAN</v>
      </c>
    </row>
    <row r="1518" spans="5:8" x14ac:dyDescent="0.25">
      <c r="E1518" t="str">
        <f>""</f>
        <v/>
      </c>
      <c r="F1518" t="str">
        <f>""</f>
        <v/>
      </c>
      <c r="G1518" s="3">
        <v>168.32</v>
      </c>
      <c r="H1518" t="str">
        <f t="shared" si="27"/>
        <v>GUARDIAN</v>
      </c>
    </row>
    <row r="1519" spans="5:8" x14ac:dyDescent="0.25">
      <c r="E1519" t="str">
        <f>""</f>
        <v/>
      </c>
      <c r="F1519" t="str">
        <f>""</f>
        <v/>
      </c>
      <c r="G1519" s="3">
        <v>30.78</v>
      </c>
      <c r="H1519" t="str">
        <f t="shared" si="27"/>
        <v>GUARDIAN</v>
      </c>
    </row>
    <row r="1520" spans="5:8" x14ac:dyDescent="0.25">
      <c r="E1520" t="str">
        <f>""</f>
        <v/>
      </c>
      <c r="F1520" t="str">
        <f>""</f>
        <v/>
      </c>
      <c r="G1520" s="3">
        <v>30.78</v>
      </c>
      <c r="H1520" t="str">
        <f t="shared" si="27"/>
        <v>GUARDIAN</v>
      </c>
    </row>
    <row r="1521" spans="5:8" x14ac:dyDescent="0.25">
      <c r="E1521" t="str">
        <f>""</f>
        <v/>
      </c>
      <c r="F1521" t="str">
        <f>""</f>
        <v/>
      </c>
      <c r="G1521" s="3">
        <v>15.39</v>
      </c>
      <c r="H1521" t="str">
        <f t="shared" si="27"/>
        <v>GUARDIAN</v>
      </c>
    </row>
    <row r="1522" spans="5:8" x14ac:dyDescent="0.25">
      <c r="E1522" t="str">
        <f>""</f>
        <v/>
      </c>
      <c r="F1522" t="str">
        <f>""</f>
        <v/>
      </c>
      <c r="G1522" s="3">
        <v>76.95</v>
      </c>
      <c r="H1522" t="str">
        <f t="shared" si="27"/>
        <v>GUARDIAN</v>
      </c>
    </row>
    <row r="1523" spans="5:8" x14ac:dyDescent="0.25">
      <c r="E1523" t="str">
        <f>""</f>
        <v/>
      </c>
      <c r="F1523" t="str">
        <f>""</f>
        <v/>
      </c>
      <c r="G1523" s="3">
        <v>30.78</v>
      </c>
      <c r="H1523" t="str">
        <f t="shared" si="27"/>
        <v>GUARDIAN</v>
      </c>
    </row>
    <row r="1524" spans="5:8" x14ac:dyDescent="0.25">
      <c r="E1524" t="str">
        <f>""</f>
        <v/>
      </c>
      <c r="F1524" t="str">
        <f>""</f>
        <v/>
      </c>
      <c r="G1524" s="3">
        <v>92.34</v>
      </c>
      <c r="H1524" t="str">
        <f t="shared" si="27"/>
        <v>GUARDIAN</v>
      </c>
    </row>
    <row r="1525" spans="5:8" x14ac:dyDescent="0.25">
      <c r="E1525" t="str">
        <f>""</f>
        <v/>
      </c>
      <c r="F1525" t="str">
        <f>""</f>
        <v/>
      </c>
      <c r="G1525" s="3">
        <v>153.9</v>
      </c>
      <c r="H1525" t="str">
        <f t="shared" si="27"/>
        <v>GUARDIAN</v>
      </c>
    </row>
    <row r="1526" spans="5:8" x14ac:dyDescent="0.25">
      <c r="E1526" t="str">
        <f>""</f>
        <v/>
      </c>
      <c r="F1526" t="str">
        <f>""</f>
        <v/>
      </c>
      <c r="G1526" s="3">
        <v>231.09</v>
      </c>
      <c r="H1526" t="str">
        <f t="shared" si="27"/>
        <v>GUARDIAN</v>
      </c>
    </row>
    <row r="1527" spans="5:8" x14ac:dyDescent="0.25">
      <c r="E1527" t="str">
        <f>""</f>
        <v/>
      </c>
      <c r="F1527" t="str">
        <f>""</f>
        <v/>
      </c>
      <c r="G1527" s="3">
        <v>15.39</v>
      </c>
      <c r="H1527" t="str">
        <f t="shared" si="27"/>
        <v>GUARDIAN</v>
      </c>
    </row>
    <row r="1528" spans="5:8" x14ac:dyDescent="0.25">
      <c r="E1528" t="str">
        <f>""</f>
        <v/>
      </c>
      <c r="F1528" t="str">
        <f>""</f>
        <v/>
      </c>
      <c r="G1528" s="3">
        <v>903.7</v>
      </c>
      <c r="H1528" t="str">
        <f t="shared" si="27"/>
        <v>GUARDIAN</v>
      </c>
    </row>
    <row r="1529" spans="5:8" x14ac:dyDescent="0.25">
      <c r="E1529" t="str">
        <f>""</f>
        <v/>
      </c>
      <c r="F1529" t="str">
        <f>""</f>
        <v/>
      </c>
      <c r="G1529" s="3">
        <v>45.71</v>
      </c>
      <c r="H1529" t="str">
        <f t="shared" si="27"/>
        <v>GUARDIAN</v>
      </c>
    </row>
    <row r="1530" spans="5:8" x14ac:dyDescent="0.25">
      <c r="E1530" t="str">
        <f>""</f>
        <v/>
      </c>
      <c r="F1530" t="str">
        <f>""</f>
        <v/>
      </c>
      <c r="G1530" s="3">
        <v>819.09</v>
      </c>
      <c r="H1530" t="str">
        <f t="shared" si="27"/>
        <v>GUARDIAN</v>
      </c>
    </row>
    <row r="1531" spans="5:8" x14ac:dyDescent="0.25">
      <c r="E1531" t="str">
        <f>""</f>
        <v/>
      </c>
      <c r="F1531" t="str">
        <f>""</f>
        <v/>
      </c>
      <c r="G1531" s="3">
        <v>230.85</v>
      </c>
      <c r="H1531" t="str">
        <f t="shared" si="27"/>
        <v>GUARDIAN</v>
      </c>
    </row>
    <row r="1532" spans="5:8" x14ac:dyDescent="0.25">
      <c r="E1532" t="str">
        <f>""</f>
        <v/>
      </c>
      <c r="F1532" t="str">
        <f>""</f>
        <v/>
      </c>
      <c r="G1532" s="3">
        <v>30.78</v>
      </c>
      <c r="H1532" t="str">
        <f t="shared" si="27"/>
        <v>GUARDIAN</v>
      </c>
    </row>
    <row r="1533" spans="5:8" x14ac:dyDescent="0.25">
      <c r="E1533" t="str">
        <f>""</f>
        <v/>
      </c>
      <c r="F1533" t="str">
        <f>""</f>
        <v/>
      </c>
      <c r="G1533" s="3">
        <v>30.78</v>
      </c>
      <c r="H1533" t="str">
        <f t="shared" si="27"/>
        <v>GUARDIAN</v>
      </c>
    </row>
    <row r="1534" spans="5:8" x14ac:dyDescent="0.25">
      <c r="E1534" t="str">
        <f>""</f>
        <v/>
      </c>
      <c r="F1534" t="str">
        <f>""</f>
        <v/>
      </c>
      <c r="G1534" s="3">
        <v>15.39</v>
      </c>
      <c r="H1534" t="str">
        <f t="shared" si="27"/>
        <v>GUARDIAN</v>
      </c>
    </row>
    <row r="1535" spans="5:8" x14ac:dyDescent="0.25">
      <c r="E1535" t="str">
        <f>""</f>
        <v/>
      </c>
      <c r="F1535" t="str">
        <f>""</f>
        <v/>
      </c>
      <c r="G1535" s="3">
        <v>46.17</v>
      </c>
      <c r="H1535" t="str">
        <f t="shared" si="27"/>
        <v>GUARDIAN</v>
      </c>
    </row>
    <row r="1536" spans="5:8" x14ac:dyDescent="0.25">
      <c r="E1536" t="str">
        <f>""</f>
        <v/>
      </c>
      <c r="F1536" t="str">
        <f>""</f>
        <v/>
      </c>
      <c r="G1536" s="3">
        <v>15.39</v>
      </c>
      <c r="H1536" t="str">
        <f t="shared" si="27"/>
        <v>GUARDIAN</v>
      </c>
    </row>
    <row r="1537" spans="5:8" x14ac:dyDescent="0.25">
      <c r="E1537" t="str">
        <f>""</f>
        <v/>
      </c>
      <c r="F1537" t="str">
        <f>""</f>
        <v/>
      </c>
      <c r="G1537" s="3">
        <v>1.1100000000000001</v>
      </c>
      <c r="H1537" t="str">
        <f t="shared" si="27"/>
        <v>GUARDIAN</v>
      </c>
    </row>
    <row r="1538" spans="5:8" x14ac:dyDescent="0.25">
      <c r="E1538" t="str">
        <f>""</f>
        <v/>
      </c>
      <c r="F1538" t="str">
        <f>""</f>
        <v/>
      </c>
      <c r="G1538" s="3">
        <v>84.28</v>
      </c>
      <c r="H1538" t="str">
        <f t="shared" si="27"/>
        <v>GUARDIAN</v>
      </c>
    </row>
    <row r="1539" spans="5:8" x14ac:dyDescent="0.25">
      <c r="E1539" t="str">
        <f>""</f>
        <v/>
      </c>
      <c r="F1539" t="str">
        <f>""</f>
        <v/>
      </c>
      <c r="G1539" s="3">
        <v>104.84</v>
      </c>
      <c r="H1539" t="str">
        <f t="shared" si="27"/>
        <v>GUARDIAN</v>
      </c>
    </row>
    <row r="1540" spans="5:8" x14ac:dyDescent="0.25">
      <c r="E1540" t="str">
        <f>""</f>
        <v/>
      </c>
      <c r="F1540" t="str">
        <f>""</f>
        <v/>
      </c>
      <c r="G1540" s="3">
        <v>162.86000000000001</v>
      </c>
      <c r="H1540" t="str">
        <f t="shared" si="27"/>
        <v>GUARDIAN</v>
      </c>
    </row>
    <row r="1541" spans="5:8" x14ac:dyDescent="0.25">
      <c r="E1541" t="str">
        <f>""</f>
        <v/>
      </c>
      <c r="F1541" t="str">
        <f>""</f>
        <v/>
      </c>
      <c r="G1541" s="3">
        <v>158.94</v>
      </c>
      <c r="H1541" t="str">
        <f t="shared" si="27"/>
        <v>GUARDIAN</v>
      </c>
    </row>
    <row r="1542" spans="5:8" x14ac:dyDescent="0.25">
      <c r="E1542" t="str">
        <f>""</f>
        <v/>
      </c>
      <c r="F1542" t="str">
        <f>""</f>
        <v/>
      </c>
      <c r="G1542" s="3">
        <v>0.4</v>
      </c>
      <c r="H1542" t="str">
        <f t="shared" si="27"/>
        <v>GUARDIAN</v>
      </c>
    </row>
    <row r="1543" spans="5:8" x14ac:dyDescent="0.25">
      <c r="E1543" t="str">
        <f>""</f>
        <v/>
      </c>
      <c r="F1543" t="str">
        <f>""</f>
        <v/>
      </c>
      <c r="G1543" s="3">
        <v>0.56999999999999995</v>
      </c>
      <c r="H1543" t="str">
        <f t="shared" si="27"/>
        <v>GUARDIAN</v>
      </c>
    </row>
    <row r="1544" spans="5:8" x14ac:dyDescent="0.25">
      <c r="E1544" t="str">
        <f>""</f>
        <v/>
      </c>
      <c r="F1544" t="str">
        <f>""</f>
        <v/>
      </c>
      <c r="G1544" s="3">
        <v>15.33</v>
      </c>
      <c r="H1544" t="str">
        <f t="shared" si="27"/>
        <v>GUARDIAN</v>
      </c>
    </row>
    <row r="1545" spans="5:8" x14ac:dyDescent="0.25">
      <c r="E1545" t="str">
        <f>"GDE202110136442"</f>
        <v>GDE202110136442</v>
      </c>
      <c r="F1545" t="str">
        <f>"GUARDIAN"</f>
        <v>GUARDIAN</v>
      </c>
      <c r="G1545" s="3">
        <v>138.51</v>
      </c>
      <c r="H1545" t="str">
        <f t="shared" si="27"/>
        <v>GUARDIAN</v>
      </c>
    </row>
    <row r="1546" spans="5:8" x14ac:dyDescent="0.25">
      <c r="E1546" t="str">
        <f>"GDF202109295920"</f>
        <v>GDF202109295920</v>
      </c>
      <c r="F1546" t="str">
        <f>"GUARDIAN"</f>
        <v>GUARDIAN</v>
      </c>
      <c r="G1546" s="3">
        <v>30.78</v>
      </c>
      <c r="H1546" t="str">
        <f t="shared" si="27"/>
        <v>GUARDIAN</v>
      </c>
    </row>
    <row r="1547" spans="5:8" x14ac:dyDescent="0.25">
      <c r="E1547" t="str">
        <f>""</f>
        <v/>
      </c>
      <c r="F1547" t="str">
        <f>""</f>
        <v/>
      </c>
      <c r="G1547" s="3">
        <v>30.78</v>
      </c>
      <c r="H1547" t="str">
        <f t="shared" si="27"/>
        <v>GUARDIAN</v>
      </c>
    </row>
    <row r="1548" spans="5:8" x14ac:dyDescent="0.25">
      <c r="E1548" t="str">
        <f>""</f>
        <v/>
      </c>
      <c r="F1548" t="str">
        <f>""</f>
        <v/>
      </c>
      <c r="G1548" s="3">
        <v>30.78</v>
      </c>
      <c r="H1548" t="str">
        <f t="shared" si="27"/>
        <v>GUARDIAN</v>
      </c>
    </row>
    <row r="1549" spans="5:8" x14ac:dyDescent="0.25">
      <c r="E1549" t="str">
        <f>""</f>
        <v/>
      </c>
      <c r="F1549" t="str">
        <f>""</f>
        <v/>
      </c>
      <c r="G1549" s="3">
        <v>15.39</v>
      </c>
      <c r="H1549" t="str">
        <f t="shared" si="27"/>
        <v>GUARDIAN</v>
      </c>
    </row>
    <row r="1550" spans="5:8" x14ac:dyDescent="0.25">
      <c r="E1550" t="str">
        <f>""</f>
        <v/>
      </c>
      <c r="F1550" t="str">
        <f>""</f>
        <v/>
      </c>
      <c r="G1550" s="3">
        <v>30.78</v>
      </c>
      <c r="H1550" t="str">
        <f t="shared" si="27"/>
        <v>GUARDIAN</v>
      </c>
    </row>
    <row r="1551" spans="5:8" x14ac:dyDescent="0.25">
      <c r="E1551" t="str">
        <f>""</f>
        <v/>
      </c>
      <c r="F1551" t="str">
        <f>""</f>
        <v/>
      </c>
      <c r="G1551" s="3">
        <v>15.39</v>
      </c>
      <c r="H1551" t="str">
        <f t="shared" si="27"/>
        <v>GUARDIAN</v>
      </c>
    </row>
    <row r="1552" spans="5:8" x14ac:dyDescent="0.25">
      <c r="E1552" t="str">
        <f>""</f>
        <v/>
      </c>
      <c r="F1552" t="str">
        <f>""</f>
        <v/>
      </c>
      <c r="G1552" s="3">
        <v>15.39</v>
      </c>
      <c r="H1552" t="str">
        <f t="shared" si="27"/>
        <v>GUARDIAN</v>
      </c>
    </row>
    <row r="1553" spans="5:8" x14ac:dyDescent="0.25">
      <c r="E1553" t="str">
        <f>""</f>
        <v/>
      </c>
      <c r="F1553" t="str">
        <f>""</f>
        <v/>
      </c>
      <c r="G1553" s="3">
        <v>15.39</v>
      </c>
      <c r="H1553" t="str">
        <f t="shared" si="27"/>
        <v>GUARDIAN</v>
      </c>
    </row>
    <row r="1554" spans="5:8" x14ac:dyDescent="0.25">
      <c r="E1554" t="str">
        <f>""</f>
        <v/>
      </c>
      <c r="F1554" t="str">
        <f>""</f>
        <v/>
      </c>
      <c r="G1554" s="3">
        <v>15.39</v>
      </c>
      <c r="H1554" t="str">
        <f t="shared" si="27"/>
        <v>GUARDIAN</v>
      </c>
    </row>
    <row r="1555" spans="5:8" x14ac:dyDescent="0.25">
      <c r="E1555" t="str">
        <f>""</f>
        <v/>
      </c>
      <c r="F1555" t="str">
        <f>""</f>
        <v/>
      </c>
      <c r="G1555" s="3">
        <v>30.78</v>
      </c>
      <c r="H1555" t="str">
        <f t="shared" si="27"/>
        <v>GUARDIAN</v>
      </c>
    </row>
    <row r="1556" spans="5:8" x14ac:dyDescent="0.25">
      <c r="E1556" t="str">
        <f>""</f>
        <v/>
      </c>
      <c r="F1556" t="str">
        <f>""</f>
        <v/>
      </c>
      <c r="G1556" s="3">
        <v>30.78</v>
      </c>
      <c r="H1556" t="str">
        <f t="shared" si="27"/>
        <v>GUARDIAN</v>
      </c>
    </row>
    <row r="1557" spans="5:8" x14ac:dyDescent="0.25">
      <c r="E1557" t="str">
        <f>""</f>
        <v/>
      </c>
      <c r="F1557" t="str">
        <f>""</f>
        <v/>
      </c>
      <c r="G1557" s="3">
        <v>15.39</v>
      </c>
      <c r="H1557" t="str">
        <f t="shared" si="27"/>
        <v>GUARDIAN</v>
      </c>
    </row>
    <row r="1558" spans="5:8" x14ac:dyDescent="0.25">
      <c r="E1558" t="str">
        <f>""</f>
        <v/>
      </c>
      <c r="F1558" t="str">
        <f>""</f>
        <v/>
      </c>
      <c r="G1558" s="3">
        <v>30.78</v>
      </c>
      <c r="H1558" t="str">
        <f t="shared" si="27"/>
        <v>GUARDIAN</v>
      </c>
    </row>
    <row r="1559" spans="5:8" x14ac:dyDescent="0.25">
      <c r="E1559" t="str">
        <f>""</f>
        <v/>
      </c>
      <c r="F1559" t="str">
        <f>""</f>
        <v/>
      </c>
      <c r="G1559" s="3">
        <v>15.39</v>
      </c>
      <c r="H1559" t="str">
        <f t="shared" si="27"/>
        <v>GUARDIAN</v>
      </c>
    </row>
    <row r="1560" spans="5:8" x14ac:dyDescent="0.25">
      <c r="E1560" t="str">
        <f>""</f>
        <v/>
      </c>
      <c r="F1560" t="str">
        <f>""</f>
        <v/>
      </c>
      <c r="G1560" s="3">
        <v>30.78</v>
      </c>
      <c r="H1560" t="str">
        <f t="shared" si="27"/>
        <v>GUARDIAN</v>
      </c>
    </row>
    <row r="1561" spans="5:8" x14ac:dyDescent="0.25">
      <c r="E1561" t="str">
        <f>""</f>
        <v/>
      </c>
      <c r="F1561" t="str">
        <f>""</f>
        <v/>
      </c>
      <c r="G1561" s="3">
        <v>61.56</v>
      </c>
      <c r="H1561" t="str">
        <f t="shared" si="27"/>
        <v>GUARDIAN</v>
      </c>
    </row>
    <row r="1562" spans="5:8" x14ac:dyDescent="0.25">
      <c r="E1562" t="str">
        <f>""</f>
        <v/>
      </c>
      <c r="F1562" t="str">
        <f>""</f>
        <v/>
      </c>
      <c r="G1562" s="3">
        <v>15.39</v>
      </c>
      <c r="H1562" t="str">
        <f t="shared" si="27"/>
        <v>GUARDIAN</v>
      </c>
    </row>
    <row r="1563" spans="5:8" x14ac:dyDescent="0.25">
      <c r="E1563" t="str">
        <f>""</f>
        <v/>
      </c>
      <c r="F1563" t="str">
        <f>""</f>
        <v/>
      </c>
      <c r="G1563" s="3">
        <v>173.51</v>
      </c>
      <c r="H1563" t="str">
        <f t="shared" si="27"/>
        <v>GUARDIAN</v>
      </c>
    </row>
    <row r="1564" spans="5:8" x14ac:dyDescent="0.25">
      <c r="E1564" t="str">
        <f>""</f>
        <v/>
      </c>
      <c r="F1564" t="str">
        <f>""</f>
        <v/>
      </c>
      <c r="G1564" s="3">
        <v>105.03</v>
      </c>
      <c r="H1564" t="str">
        <f t="shared" si="27"/>
        <v>GUARDIAN</v>
      </c>
    </row>
    <row r="1565" spans="5:8" x14ac:dyDescent="0.25">
      <c r="E1565" t="str">
        <f>""</f>
        <v/>
      </c>
      <c r="F1565" t="str">
        <f>""</f>
        <v/>
      </c>
      <c r="G1565" s="3">
        <v>15.39</v>
      </c>
      <c r="H1565" t="str">
        <f t="shared" ref="H1565:H1628" si="28">"GUARDIAN"</f>
        <v>GUARDIAN</v>
      </c>
    </row>
    <row r="1566" spans="5:8" x14ac:dyDescent="0.25">
      <c r="E1566" t="str">
        <f>""</f>
        <v/>
      </c>
      <c r="F1566" t="str">
        <f>""</f>
        <v/>
      </c>
      <c r="G1566" s="3">
        <v>15.39</v>
      </c>
      <c r="H1566" t="str">
        <f t="shared" si="28"/>
        <v>GUARDIAN</v>
      </c>
    </row>
    <row r="1567" spans="5:8" x14ac:dyDescent="0.25">
      <c r="E1567" t="str">
        <f>""</f>
        <v/>
      </c>
      <c r="F1567" t="str">
        <f>""</f>
        <v/>
      </c>
      <c r="G1567" s="3">
        <v>15.39</v>
      </c>
      <c r="H1567" t="str">
        <f t="shared" si="28"/>
        <v>GUARDIAN</v>
      </c>
    </row>
    <row r="1568" spans="5:8" x14ac:dyDescent="0.25">
      <c r="E1568" t="str">
        <f>""</f>
        <v/>
      </c>
      <c r="F1568" t="str">
        <f>""</f>
        <v/>
      </c>
      <c r="G1568" s="3">
        <v>15.39</v>
      </c>
      <c r="H1568" t="str">
        <f t="shared" si="28"/>
        <v>GUARDIAN</v>
      </c>
    </row>
    <row r="1569" spans="5:8" x14ac:dyDescent="0.25">
      <c r="E1569" t="str">
        <f>""</f>
        <v/>
      </c>
      <c r="F1569" t="str">
        <f>""</f>
        <v/>
      </c>
      <c r="G1569" s="3">
        <v>15.39</v>
      </c>
      <c r="H1569" t="str">
        <f t="shared" si="28"/>
        <v>GUARDIAN</v>
      </c>
    </row>
    <row r="1570" spans="5:8" x14ac:dyDescent="0.25">
      <c r="E1570" t="str">
        <f>""</f>
        <v/>
      </c>
      <c r="F1570" t="str">
        <f>""</f>
        <v/>
      </c>
      <c r="G1570" s="3">
        <v>13.87</v>
      </c>
      <c r="H1570" t="str">
        <f t="shared" si="28"/>
        <v>GUARDIAN</v>
      </c>
    </row>
    <row r="1571" spans="5:8" x14ac:dyDescent="0.25">
      <c r="E1571" t="str">
        <f>""</f>
        <v/>
      </c>
      <c r="F1571" t="str">
        <f>""</f>
        <v/>
      </c>
      <c r="G1571" s="3">
        <v>1810.64</v>
      </c>
      <c r="H1571" t="str">
        <f t="shared" si="28"/>
        <v>GUARDIAN</v>
      </c>
    </row>
    <row r="1572" spans="5:8" x14ac:dyDescent="0.25">
      <c r="E1572" t="str">
        <f>"GDF202109295921"</f>
        <v>GDF202109295921</v>
      </c>
      <c r="F1572" t="str">
        <f>"GUARDIAN"</f>
        <v>GUARDIAN</v>
      </c>
      <c r="G1572" s="3">
        <v>30.78</v>
      </c>
      <c r="H1572" t="str">
        <f t="shared" si="28"/>
        <v>GUARDIAN</v>
      </c>
    </row>
    <row r="1573" spans="5:8" x14ac:dyDescent="0.25">
      <c r="E1573" t="str">
        <f>""</f>
        <v/>
      </c>
      <c r="F1573" t="str">
        <f>""</f>
        <v/>
      </c>
      <c r="G1573" s="3">
        <v>69.64</v>
      </c>
      <c r="H1573" t="str">
        <f t="shared" si="28"/>
        <v>GUARDIAN</v>
      </c>
    </row>
    <row r="1574" spans="5:8" x14ac:dyDescent="0.25">
      <c r="E1574" t="str">
        <f>"GDF202110136441"</f>
        <v>GDF202110136441</v>
      </c>
      <c r="F1574" t="str">
        <f>"GUARDIAN"</f>
        <v>GUARDIAN</v>
      </c>
      <c r="G1574" s="3">
        <v>30.78</v>
      </c>
      <c r="H1574" t="str">
        <f t="shared" si="28"/>
        <v>GUARDIAN</v>
      </c>
    </row>
    <row r="1575" spans="5:8" x14ac:dyDescent="0.25">
      <c r="E1575" t="str">
        <f>""</f>
        <v/>
      </c>
      <c r="F1575" t="str">
        <f>""</f>
        <v/>
      </c>
      <c r="G1575" s="3">
        <v>30.78</v>
      </c>
      <c r="H1575" t="str">
        <f t="shared" si="28"/>
        <v>GUARDIAN</v>
      </c>
    </row>
    <row r="1576" spans="5:8" x14ac:dyDescent="0.25">
      <c r="E1576" t="str">
        <f>""</f>
        <v/>
      </c>
      <c r="F1576" t="str">
        <f>""</f>
        <v/>
      </c>
      <c r="G1576" s="3">
        <v>30.78</v>
      </c>
      <c r="H1576" t="str">
        <f t="shared" si="28"/>
        <v>GUARDIAN</v>
      </c>
    </row>
    <row r="1577" spans="5:8" x14ac:dyDescent="0.25">
      <c r="E1577" t="str">
        <f>""</f>
        <v/>
      </c>
      <c r="F1577" t="str">
        <f>""</f>
        <v/>
      </c>
      <c r="G1577" s="3">
        <v>15.39</v>
      </c>
      <c r="H1577" t="str">
        <f t="shared" si="28"/>
        <v>GUARDIAN</v>
      </c>
    </row>
    <row r="1578" spans="5:8" x14ac:dyDescent="0.25">
      <c r="E1578" t="str">
        <f>""</f>
        <v/>
      </c>
      <c r="F1578" t="str">
        <f>""</f>
        <v/>
      </c>
      <c r="G1578" s="3">
        <v>30.78</v>
      </c>
      <c r="H1578" t="str">
        <f t="shared" si="28"/>
        <v>GUARDIAN</v>
      </c>
    </row>
    <row r="1579" spans="5:8" x14ac:dyDescent="0.25">
      <c r="E1579" t="str">
        <f>""</f>
        <v/>
      </c>
      <c r="F1579" t="str">
        <f>""</f>
        <v/>
      </c>
      <c r="G1579" s="3">
        <v>15.39</v>
      </c>
      <c r="H1579" t="str">
        <f t="shared" si="28"/>
        <v>GUARDIAN</v>
      </c>
    </row>
    <row r="1580" spans="5:8" x14ac:dyDescent="0.25">
      <c r="E1580" t="str">
        <f>""</f>
        <v/>
      </c>
      <c r="F1580" t="str">
        <f>""</f>
        <v/>
      </c>
      <c r="G1580" s="3">
        <v>15.39</v>
      </c>
      <c r="H1580" t="str">
        <f t="shared" si="28"/>
        <v>GUARDIAN</v>
      </c>
    </row>
    <row r="1581" spans="5:8" x14ac:dyDescent="0.25">
      <c r="E1581" t="str">
        <f>""</f>
        <v/>
      </c>
      <c r="F1581" t="str">
        <f>""</f>
        <v/>
      </c>
      <c r="G1581" s="3">
        <v>15.39</v>
      </c>
      <c r="H1581" t="str">
        <f t="shared" si="28"/>
        <v>GUARDIAN</v>
      </c>
    </row>
    <row r="1582" spans="5:8" x14ac:dyDescent="0.25">
      <c r="E1582" t="str">
        <f>""</f>
        <v/>
      </c>
      <c r="F1582" t="str">
        <f>""</f>
        <v/>
      </c>
      <c r="G1582" s="3">
        <v>15.39</v>
      </c>
      <c r="H1582" t="str">
        <f t="shared" si="28"/>
        <v>GUARDIAN</v>
      </c>
    </row>
    <row r="1583" spans="5:8" x14ac:dyDescent="0.25">
      <c r="E1583" t="str">
        <f>""</f>
        <v/>
      </c>
      <c r="F1583" t="str">
        <f>""</f>
        <v/>
      </c>
      <c r="G1583" s="3">
        <v>30.78</v>
      </c>
      <c r="H1583" t="str">
        <f t="shared" si="28"/>
        <v>GUARDIAN</v>
      </c>
    </row>
    <row r="1584" spans="5:8" x14ac:dyDescent="0.25">
      <c r="E1584" t="str">
        <f>""</f>
        <v/>
      </c>
      <c r="F1584" t="str">
        <f>""</f>
        <v/>
      </c>
      <c r="G1584" s="3">
        <v>30.78</v>
      </c>
      <c r="H1584" t="str">
        <f t="shared" si="28"/>
        <v>GUARDIAN</v>
      </c>
    </row>
    <row r="1585" spans="5:8" x14ac:dyDescent="0.25">
      <c r="E1585" t="str">
        <f>""</f>
        <v/>
      </c>
      <c r="F1585" t="str">
        <f>""</f>
        <v/>
      </c>
      <c r="G1585" s="3">
        <v>15.39</v>
      </c>
      <c r="H1585" t="str">
        <f t="shared" si="28"/>
        <v>GUARDIAN</v>
      </c>
    </row>
    <row r="1586" spans="5:8" x14ac:dyDescent="0.25">
      <c r="E1586" t="str">
        <f>""</f>
        <v/>
      </c>
      <c r="F1586" t="str">
        <f>""</f>
        <v/>
      </c>
      <c r="G1586" s="3">
        <v>30.78</v>
      </c>
      <c r="H1586" t="str">
        <f t="shared" si="28"/>
        <v>GUARDIAN</v>
      </c>
    </row>
    <row r="1587" spans="5:8" x14ac:dyDescent="0.25">
      <c r="E1587" t="str">
        <f>""</f>
        <v/>
      </c>
      <c r="F1587" t="str">
        <f>""</f>
        <v/>
      </c>
      <c r="G1587" s="3">
        <v>15.39</v>
      </c>
      <c r="H1587" t="str">
        <f t="shared" si="28"/>
        <v>GUARDIAN</v>
      </c>
    </row>
    <row r="1588" spans="5:8" x14ac:dyDescent="0.25">
      <c r="E1588" t="str">
        <f>""</f>
        <v/>
      </c>
      <c r="F1588" t="str">
        <f>""</f>
        <v/>
      </c>
      <c r="G1588" s="3">
        <v>30.78</v>
      </c>
      <c r="H1588" t="str">
        <f t="shared" si="28"/>
        <v>GUARDIAN</v>
      </c>
    </row>
    <row r="1589" spans="5:8" x14ac:dyDescent="0.25">
      <c r="E1589" t="str">
        <f>""</f>
        <v/>
      </c>
      <c r="F1589" t="str">
        <f>""</f>
        <v/>
      </c>
      <c r="G1589" s="3">
        <v>61.56</v>
      </c>
      <c r="H1589" t="str">
        <f t="shared" si="28"/>
        <v>GUARDIAN</v>
      </c>
    </row>
    <row r="1590" spans="5:8" x14ac:dyDescent="0.25">
      <c r="E1590" t="str">
        <f>""</f>
        <v/>
      </c>
      <c r="F1590" t="str">
        <f>""</f>
        <v/>
      </c>
      <c r="G1590" s="3">
        <v>15.39</v>
      </c>
      <c r="H1590" t="str">
        <f t="shared" si="28"/>
        <v>GUARDIAN</v>
      </c>
    </row>
    <row r="1591" spans="5:8" x14ac:dyDescent="0.25">
      <c r="E1591" t="str">
        <f>""</f>
        <v/>
      </c>
      <c r="F1591" t="str">
        <f>""</f>
        <v/>
      </c>
      <c r="G1591" s="3">
        <v>186.09</v>
      </c>
      <c r="H1591" t="str">
        <f t="shared" si="28"/>
        <v>GUARDIAN</v>
      </c>
    </row>
    <row r="1592" spans="5:8" x14ac:dyDescent="0.25">
      <c r="E1592" t="str">
        <f>""</f>
        <v/>
      </c>
      <c r="F1592" t="str">
        <f>""</f>
        <v/>
      </c>
      <c r="G1592" s="3">
        <v>106.32</v>
      </c>
      <c r="H1592" t="str">
        <f t="shared" si="28"/>
        <v>GUARDIAN</v>
      </c>
    </row>
    <row r="1593" spans="5:8" x14ac:dyDescent="0.25">
      <c r="E1593" t="str">
        <f>""</f>
        <v/>
      </c>
      <c r="F1593" t="str">
        <f>""</f>
        <v/>
      </c>
      <c r="G1593" s="3">
        <v>15.39</v>
      </c>
      <c r="H1593" t="str">
        <f t="shared" si="28"/>
        <v>GUARDIAN</v>
      </c>
    </row>
    <row r="1594" spans="5:8" x14ac:dyDescent="0.25">
      <c r="E1594" t="str">
        <f>""</f>
        <v/>
      </c>
      <c r="F1594" t="str">
        <f>""</f>
        <v/>
      </c>
      <c r="G1594" s="3">
        <v>15.39</v>
      </c>
      <c r="H1594" t="str">
        <f t="shared" si="28"/>
        <v>GUARDIAN</v>
      </c>
    </row>
    <row r="1595" spans="5:8" x14ac:dyDescent="0.25">
      <c r="E1595" t="str">
        <f>""</f>
        <v/>
      </c>
      <c r="F1595" t="str">
        <f>""</f>
        <v/>
      </c>
      <c r="G1595" s="3">
        <v>15.39</v>
      </c>
      <c r="H1595" t="str">
        <f t="shared" si="28"/>
        <v>GUARDIAN</v>
      </c>
    </row>
    <row r="1596" spans="5:8" x14ac:dyDescent="0.25">
      <c r="E1596" t="str">
        <f>""</f>
        <v/>
      </c>
      <c r="F1596" t="str">
        <f>""</f>
        <v/>
      </c>
      <c r="G1596" s="3">
        <v>15.39</v>
      </c>
      <c r="H1596" t="str">
        <f t="shared" si="28"/>
        <v>GUARDIAN</v>
      </c>
    </row>
    <row r="1597" spans="5:8" x14ac:dyDescent="0.25">
      <c r="E1597" t="str">
        <f>""</f>
        <v/>
      </c>
      <c r="F1597" t="str">
        <f>""</f>
        <v/>
      </c>
      <c r="G1597" s="3">
        <v>15.39</v>
      </c>
      <c r="H1597" t="str">
        <f t="shared" si="28"/>
        <v>GUARDIAN</v>
      </c>
    </row>
    <row r="1598" spans="5:8" x14ac:dyDescent="0.25">
      <c r="E1598" t="str">
        <f>""</f>
        <v/>
      </c>
      <c r="F1598" t="str">
        <f>""</f>
        <v/>
      </c>
      <c r="G1598" s="3">
        <v>1810.64</v>
      </c>
      <c r="H1598" t="str">
        <f t="shared" si="28"/>
        <v>GUARDIAN</v>
      </c>
    </row>
    <row r="1599" spans="5:8" x14ac:dyDescent="0.25">
      <c r="E1599" t="str">
        <f>"GDF202110136442"</f>
        <v>GDF202110136442</v>
      </c>
      <c r="F1599" t="str">
        <f>"GUARDIAN"</f>
        <v>GUARDIAN</v>
      </c>
      <c r="G1599" s="3">
        <v>30.78</v>
      </c>
      <c r="H1599" t="str">
        <f t="shared" si="28"/>
        <v>GUARDIAN</v>
      </c>
    </row>
    <row r="1600" spans="5:8" x14ac:dyDescent="0.25">
      <c r="E1600" t="str">
        <f>""</f>
        <v/>
      </c>
      <c r="F1600" t="str">
        <f>""</f>
        <v/>
      </c>
      <c r="G1600" s="3">
        <v>69.64</v>
      </c>
      <c r="H1600" t="str">
        <f t="shared" si="28"/>
        <v>GUARDIAN</v>
      </c>
    </row>
    <row r="1601" spans="5:8" x14ac:dyDescent="0.25">
      <c r="E1601" t="str">
        <f>"GDS202109295920"</f>
        <v>GDS202109295920</v>
      </c>
      <c r="F1601" t="str">
        <f>"GUARDIAN"</f>
        <v>GUARDIAN</v>
      </c>
      <c r="G1601" s="3">
        <v>15.39</v>
      </c>
      <c r="H1601" t="str">
        <f t="shared" si="28"/>
        <v>GUARDIAN</v>
      </c>
    </row>
    <row r="1602" spans="5:8" x14ac:dyDescent="0.25">
      <c r="E1602" t="str">
        <f>""</f>
        <v/>
      </c>
      <c r="F1602" t="str">
        <f>""</f>
        <v/>
      </c>
      <c r="G1602" s="3">
        <v>6.67</v>
      </c>
      <c r="H1602" t="str">
        <f t="shared" si="28"/>
        <v>GUARDIAN</v>
      </c>
    </row>
    <row r="1603" spans="5:8" x14ac:dyDescent="0.25">
      <c r="E1603" t="str">
        <f>""</f>
        <v/>
      </c>
      <c r="F1603" t="str">
        <f>""</f>
        <v/>
      </c>
      <c r="G1603" s="3">
        <v>15.39</v>
      </c>
      <c r="H1603" t="str">
        <f t="shared" si="28"/>
        <v>GUARDIAN</v>
      </c>
    </row>
    <row r="1604" spans="5:8" x14ac:dyDescent="0.25">
      <c r="E1604" t="str">
        <f>""</f>
        <v/>
      </c>
      <c r="F1604" t="str">
        <f>""</f>
        <v/>
      </c>
      <c r="G1604" s="3">
        <v>15.39</v>
      </c>
      <c r="H1604" t="str">
        <f t="shared" si="28"/>
        <v>GUARDIAN</v>
      </c>
    </row>
    <row r="1605" spans="5:8" x14ac:dyDescent="0.25">
      <c r="E1605" t="str">
        <f>""</f>
        <v/>
      </c>
      <c r="F1605" t="str">
        <f>""</f>
        <v/>
      </c>
      <c r="G1605" s="3">
        <v>15.39</v>
      </c>
      <c r="H1605" t="str">
        <f t="shared" si="28"/>
        <v>GUARDIAN</v>
      </c>
    </row>
    <row r="1606" spans="5:8" x14ac:dyDescent="0.25">
      <c r="E1606" t="str">
        <f>""</f>
        <v/>
      </c>
      <c r="F1606" t="str">
        <f>""</f>
        <v/>
      </c>
      <c r="G1606" s="3">
        <v>76.95</v>
      </c>
      <c r="H1606" t="str">
        <f t="shared" si="28"/>
        <v>GUARDIAN</v>
      </c>
    </row>
    <row r="1607" spans="5:8" x14ac:dyDescent="0.25">
      <c r="E1607" t="str">
        <f>""</f>
        <v/>
      </c>
      <c r="F1607" t="str">
        <f>""</f>
        <v/>
      </c>
      <c r="G1607" s="3">
        <v>15.39</v>
      </c>
      <c r="H1607" t="str">
        <f t="shared" si="28"/>
        <v>GUARDIAN</v>
      </c>
    </row>
    <row r="1608" spans="5:8" x14ac:dyDescent="0.25">
      <c r="E1608" t="str">
        <f>""</f>
        <v/>
      </c>
      <c r="F1608" t="str">
        <f>""</f>
        <v/>
      </c>
      <c r="G1608" s="3">
        <v>29.98</v>
      </c>
      <c r="H1608" t="str">
        <f t="shared" si="28"/>
        <v>GUARDIAN</v>
      </c>
    </row>
    <row r="1609" spans="5:8" x14ac:dyDescent="0.25">
      <c r="E1609" t="str">
        <f>""</f>
        <v/>
      </c>
      <c r="F1609" t="str">
        <f>""</f>
        <v/>
      </c>
      <c r="G1609" s="3">
        <v>30.78</v>
      </c>
      <c r="H1609" t="str">
        <f t="shared" si="28"/>
        <v>GUARDIAN</v>
      </c>
    </row>
    <row r="1610" spans="5:8" x14ac:dyDescent="0.25">
      <c r="E1610" t="str">
        <f>""</f>
        <v/>
      </c>
      <c r="F1610" t="str">
        <f>""</f>
        <v/>
      </c>
      <c r="G1610" s="3">
        <v>46.17</v>
      </c>
      <c r="H1610" t="str">
        <f t="shared" si="28"/>
        <v>GUARDIAN</v>
      </c>
    </row>
    <row r="1611" spans="5:8" x14ac:dyDescent="0.25">
      <c r="E1611" t="str">
        <f>""</f>
        <v/>
      </c>
      <c r="F1611" t="str">
        <f>""</f>
        <v/>
      </c>
      <c r="G1611" s="3">
        <v>30.78</v>
      </c>
      <c r="H1611" t="str">
        <f t="shared" si="28"/>
        <v>GUARDIAN</v>
      </c>
    </row>
    <row r="1612" spans="5:8" x14ac:dyDescent="0.25">
      <c r="E1612" t="str">
        <f>""</f>
        <v/>
      </c>
      <c r="F1612" t="str">
        <f>""</f>
        <v/>
      </c>
      <c r="G1612" s="3">
        <v>46.17</v>
      </c>
      <c r="H1612" t="str">
        <f t="shared" si="28"/>
        <v>GUARDIAN</v>
      </c>
    </row>
    <row r="1613" spans="5:8" x14ac:dyDescent="0.25">
      <c r="E1613" t="str">
        <f>""</f>
        <v/>
      </c>
      <c r="F1613" t="str">
        <f>""</f>
        <v/>
      </c>
      <c r="G1613" s="3">
        <v>15.39</v>
      </c>
      <c r="H1613" t="str">
        <f t="shared" si="28"/>
        <v>GUARDIAN</v>
      </c>
    </row>
    <row r="1614" spans="5:8" x14ac:dyDescent="0.25">
      <c r="E1614" t="str">
        <f>""</f>
        <v/>
      </c>
      <c r="F1614" t="str">
        <f>""</f>
        <v/>
      </c>
      <c r="G1614" s="3">
        <v>30.78</v>
      </c>
      <c r="H1614" t="str">
        <f t="shared" si="28"/>
        <v>GUARDIAN</v>
      </c>
    </row>
    <row r="1615" spans="5:8" x14ac:dyDescent="0.25">
      <c r="E1615" t="str">
        <f>""</f>
        <v/>
      </c>
      <c r="F1615" t="str">
        <f>""</f>
        <v/>
      </c>
      <c r="G1615" s="3">
        <v>15.39</v>
      </c>
      <c r="H1615" t="str">
        <f t="shared" si="28"/>
        <v>GUARDIAN</v>
      </c>
    </row>
    <row r="1616" spans="5:8" x14ac:dyDescent="0.25">
      <c r="E1616" t="str">
        <f>""</f>
        <v/>
      </c>
      <c r="F1616" t="str">
        <f>""</f>
        <v/>
      </c>
      <c r="G1616" s="3">
        <v>127.22</v>
      </c>
      <c r="H1616" t="str">
        <f t="shared" si="28"/>
        <v>GUARDIAN</v>
      </c>
    </row>
    <row r="1617" spans="5:8" x14ac:dyDescent="0.25">
      <c r="E1617" t="str">
        <f>""</f>
        <v/>
      </c>
      <c r="F1617" t="str">
        <f>""</f>
        <v/>
      </c>
      <c r="G1617" s="3">
        <v>106.42</v>
      </c>
      <c r="H1617" t="str">
        <f t="shared" si="28"/>
        <v>GUARDIAN</v>
      </c>
    </row>
    <row r="1618" spans="5:8" x14ac:dyDescent="0.25">
      <c r="E1618" t="str">
        <f>""</f>
        <v/>
      </c>
      <c r="F1618" t="str">
        <f>""</f>
        <v/>
      </c>
      <c r="G1618" s="3">
        <v>15.39</v>
      </c>
      <c r="H1618" t="str">
        <f t="shared" si="28"/>
        <v>GUARDIAN</v>
      </c>
    </row>
    <row r="1619" spans="5:8" x14ac:dyDescent="0.25">
      <c r="E1619" t="str">
        <f>""</f>
        <v/>
      </c>
      <c r="F1619" t="str">
        <f>""</f>
        <v/>
      </c>
      <c r="G1619" s="3">
        <v>3.94</v>
      </c>
      <c r="H1619" t="str">
        <f t="shared" si="28"/>
        <v>GUARDIAN</v>
      </c>
    </row>
    <row r="1620" spans="5:8" x14ac:dyDescent="0.25">
      <c r="E1620" t="str">
        <f>""</f>
        <v/>
      </c>
      <c r="F1620" t="str">
        <f>""</f>
        <v/>
      </c>
      <c r="G1620" s="3">
        <v>15.39</v>
      </c>
      <c r="H1620" t="str">
        <f t="shared" si="28"/>
        <v>GUARDIAN</v>
      </c>
    </row>
    <row r="1621" spans="5:8" x14ac:dyDescent="0.25">
      <c r="E1621" t="str">
        <f>""</f>
        <v/>
      </c>
      <c r="F1621" t="str">
        <f>""</f>
        <v/>
      </c>
      <c r="G1621" s="3">
        <v>15.39</v>
      </c>
      <c r="H1621" t="str">
        <f t="shared" si="28"/>
        <v>GUARDIAN</v>
      </c>
    </row>
    <row r="1622" spans="5:8" x14ac:dyDescent="0.25">
      <c r="E1622" t="str">
        <f>""</f>
        <v/>
      </c>
      <c r="F1622" t="str">
        <f>""</f>
        <v/>
      </c>
      <c r="G1622" s="3">
        <v>85.67</v>
      </c>
      <c r="H1622" t="str">
        <f t="shared" si="28"/>
        <v>GUARDIAN</v>
      </c>
    </row>
    <row r="1623" spans="5:8" x14ac:dyDescent="0.25">
      <c r="E1623" t="str">
        <f>""</f>
        <v/>
      </c>
      <c r="F1623" t="str">
        <f>""</f>
        <v/>
      </c>
      <c r="G1623" s="3">
        <v>61.56</v>
      </c>
      <c r="H1623" t="str">
        <f t="shared" si="28"/>
        <v>GUARDIAN</v>
      </c>
    </row>
    <row r="1624" spans="5:8" x14ac:dyDescent="0.25">
      <c r="E1624" t="str">
        <f>""</f>
        <v/>
      </c>
      <c r="F1624" t="str">
        <f>""</f>
        <v/>
      </c>
      <c r="G1624" s="3">
        <v>30.78</v>
      </c>
      <c r="H1624" t="str">
        <f t="shared" si="28"/>
        <v>GUARDIAN</v>
      </c>
    </row>
    <row r="1625" spans="5:8" x14ac:dyDescent="0.25">
      <c r="E1625" t="str">
        <f>""</f>
        <v/>
      </c>
      <c r="F1625" t="str">
        <f>""</f>
        <v/>
      </c>
      <c r="G1625" s="3">
        <v>61.56</v>
      </c>
      <c r="H1625" t="str">
        <f t="shared" si="28"/>
        <v>GUARDIAN</v>
      </c>
    </row>
    <row r="1626" spans="5:8" x14ac:dyDescent="0.25">
      <c r="E1626" t="str">
        <f>""</f>
        <v/>
      </c>
      <c r="F1626" t="str">
        <f>""</f>
        <v/>
      </c>
      <c r="G1626" s="3">
        <v>26.84</v>
      </c>
      <c r="H1626" t="str">
        <f t="shared" si="28"/>
        <v>GUARDIAN</v>
      </c>
    </row>
    <row r="1627" spans="5:8" x14ac:dyDescent="0.25">
      <c r="E1627" t="str">
        <f>""</f>
        <v/>
      </c>
      <c r="F1627" t="str">
        <f>""</f>
        <v/>
      </c>
      <c r="G1627" s="3">
        <v>12.6</v>
      </c>
      <c r="H1627" t="str">
        <f t="shared" si="28"/>
        <v>GUARDIAN</v>
      </c>
    </row>
    <row r="1628" spans="5:8" x14ac:dyDescent="0.25">
      <c r="E1628" t="str">
        <f>""</f>
        <v/>
      </c>
      <c r="F1628" t="str">
        <f>""</f>
        <v/>
      </c>
      <c r="G1628" s="3">
        <v>0.8</v>
      </c>
      <c r="H1628" t="str">
        <f t="shared" si="28"/>
        <v>GUARDIAN</v>
      </c>
    </row>
    <row r="1629" spans="5:8" x14ac:dyDescent="0.25">
      <c r="E1629" t="str">
        <f>""</f>
        <v/>
      </c>
      <c r="F1629" t="str">
        <f>""</f>
        <v/>
      </c>
      <c r="G1629" s="3">
        <v>984.69</v>
      </c>
      <c r="H1629" t="str">
        <f t="shared" ref="H1629:H1661" si="29">"GUARDIAN"</f>
        <v>GUARDIAN</v>
      </c>
    </row>
    <row r="1630" spans="5:8" x14ac:dyDescent="0.25">
      <c r="E1630" t="str">
        <f>"GDS202109295921"</f>
        <v>GDS202109295921</v>
      </c>
      <c r="F1630" t="str">
        <f>"GUARDIAN"</f>
        <v>GUARDIAN</v>
      </c>
      <c r="G1630" s="3">
        <v>15.39</v>
      </c>
      <c r="H1630" t="str">
        <f t="shared" si="29"/>
        <v>GUARDIAN</v>
      </c>
    </row>
    <row r="1631" spans="5:8" x14ac:dyDescent="0.25">
      <c r="E1631" t="str">
        <f>""</f>
        <v/>
      </c>
      <c r="F1631" t="str">
        <f>""</f>
        <v/>
      </c>
      <c r="G1631" s="3">
        <v>15.63</v>
      </c>
      <c r="H1631" t="str">
        <f t="shared" si="29"/>
        <v>GUARDIAN</v>
      </c>
    </row>
    <row r="1632" spans="5:8" x14ac:dyDescent="0.25">
      <c r="E1632" t="str">
        <f>"GDS202110136441"</f>
        <v>GDS202110136441</v>
      </c>
      <c r="F1632" t="str">
        <f>"GUARDIAN"</f>
        <v>GUARDIAN</v>
      </c>
      <c r="G1632" s="3">
        <v>15.39</v>
      </c>
      <c r="H1632" t="str">
        <f t="shared" si="29"/>
        <v>GUARDIAN</v>
      </c>
    </row>
    <row r="1633" spans="5:8" x14ac:dyDescent="0.25">
      <c r="E1633" t="str">
        <f>""</f>
        <v/>
      </c>
      <c r="F1633" t="str">
        <f>""</f>
        <v/>
      </c>
      <c r="G1633" s="3">
        <v>6.68</v>
      </c>
      <c r="H1633" t="str">
        <f t="shared" si="29"/>
        <v>GUARDIAN</v>
      </c>
    </row>
    <row r="1634" spans="5:8" x14ac:dyDescent="0.25">
      <c r="E1634" t="str">
        <f>""</f>
        <v/>
      </c>
      <c r="F1634" t="str">
        <f>""</f>
        <v/>
      </c>
      <c r="G1634" s="3">
        <v>15.39</v>
      </c>
      <c r="H1634" t="str">
        <f t="shared" si="29"/>
        <v>GUARDIAN</v>
      </c>
    </row>
    <row r="1635" spans="5:8" x14ac:dyDescent="0.25">
      <c r="E1635" t="str">
        <f>""</f>
        <v/>
      </c>
      <c r="F1635" t="str">
        <f>""</f>
        <v/>
      </c>
      <c r="G1635" s="3">
        <v>15.39</v>
      </c>
      <c r="H1635" t="str">
        <f t="shared" si="29"/>
        <v>GUARDIAN</v>
      </c>
    </row>
    <row r="1636" spans="5:8" x14ac:dyDescent="0.25">
      <c r="E1636" t="str">
        <f>""</f>
        <v/>
      </c>
      <c r="F1636" t="str">
        <f>""</f>
        <v/>
      </c>
      <c r="G1636" s="3">
        <v>15.39</v>
      </c>
      <c r="H1636" t="str">
        <f t="shared" si="29"/>
        <v>GUARDIAN</v>
      </c>
    </row>
    <row r="1637" spans="5:8" x14ac:dyDescent="0.25">
      <c r="E1637" t="str">
        <f>""</f>
        <v/>
      </c>
      <c r="F1637" t="str">
        <f>""</f>
        <v/>
      </c>
      <c r="G1637" s="3">
        <v>76.95</v>
      </c>
      <c r="H1637" t="str">
        <f t="shared" si="29"/>
        <v>GUARDIAN</v>
      </c>
    </row>
    <row r="1638" spans="5:8" x14ac:dyDescent="0.25">
      <c r="E1638" t="str">
        <f>""</f>
        <v/>
      </c>
      <c r="F1638" t="str">
        <f>""</f>
        <v/>
      </c>
      <c r="G1638" s="3">
        <v>15.39</v>
      </c>
      <c r="H1638" t="str">
        <f t="shared" si="29"/>
        <v>GUARDIAN</v>
      </c>
    </row>
    <row r="1639" spans="5:8" x14ac:dyDescent="0.25">
      <c r="E1639" t="str">
        <f>""</f>
        <v/>
      </c>
      <c r="F1639" t="str">
        <f>""</f>
        <v/>
      </c>
      <c r="G1639" s="3">
        <v>30</v>
      </c>
      <c r="H1639" t="str">
        <f t="shared" si="29"/>
        <v>GUARDIAN</v>
      </c>
    </row>
    <row r="1640" spans="5:8" x14ac:dyDescent="0.25">
      <c r="E1640" t="str">
        <f>""</f>
        <v/>
      </c>
      <c r="F1640" t="str">
        <f>""</f>
        <v/>
      </c>
      <c r="G1640" s="3">
        <v>30.78</v>
      </c>
      <c r="H1640" t="str">
        <f t="shared" si="29"/>
        <v>GUARDIAN</v>
      </c>
    </row>
    <row r="1641" spans="5:8" x14ac:dyDescent="0.25">
      <c r="E1641" t="str">
        <f>""</f>
        <v/>
      </c>
      <c r="F1641" t="str">
        <f>""</f>
        <v/>
      </c>
      <c r="G1641" s="3">
        <v>46.17</v>
      </c>
      <c r="H1641" t="str">
        <f t="shared" si="29"/>
        <v>GUARDIAN</v>
      </c>
    </row>
    <row r="1642" spans="5:8" x14ac:dyDescent="0.25">
      <c r="E1642" t="str">
        <f>""</f>
        <v/>
      </c>
      <c r="F1642" t="str">
        <f>""</f>
        <v/>
      </c>
      <c r="G1642" s="3">
        <v>30.78</v>
      </c>
      <c r="H1642" t="str">
        <f t="shared" si="29"/>
        <v>GUARDIAN</v>
      </c>
    </row>
    <row r="1643" spans="5:8" x14ac:dyDescent="0.25">
      <c r="E1643" t="str">
        <f>""</f>
        <v/>
      </c>
      <c r="F1643" t="str">
        <f>""</f>
        <v/>
      </c>
      <c r="G1643" s="3">
        <v>46.17</v>
      </c>
      <c r="H1643" t="str">
        <f t="shared" si="29"/>
        <v>GUARDIAN</v>
      </c>
    </row>
    <row r="1644" spans="5:8" x14ac:dyDescent="0.25">
      <c r="E1644" t="str">
        <f>""</f>
        <v/>
      </c>
      <c r="F1644" t="str">
        <f>""</f>
        <v/>
      </c>
      <c r="G1644" s="3">
        <v>15.39</v>
      </c>
      <c r="H1644" t="str">
        <f t="shared" si="29"/>
        <v>GUARDIAN</v>
      </c>
    </row>
    <row r="1645" spans="5:8" x14ac:dyDescent="0.25">
      <c r="E1645" t="str">
        <f>""</f>
        <v/>
      </c>
      <c r="F1645" t="str">
        <f>""</f>
        <v/>
      </c>
      <c r="G1645" s="3">
        <v>30.78</v>
      </c>
      <c r="H1645" t="str">
        <f t="shared" si="29"/>
        <v>GUARDIAN</v>
      </c>
    </row>
    <row r="1646" spans="5:8" x14ac:dyDescent="0.25">
      <c r="E1646" t="str">
        <f>""</f>
        <v/>
      </c>
      <c r="F1646" t="str">
        <f>""</f>
        <v/>
      </c>
      <c r="G1646" s="3">
        <v>15.39</v>
      </c>
      <c r="H1646" t="str">
        <f t="shared" si="29"/>
        <v>GUARDIAN</v>
      </c>
    </row>
    <row r="1647" spans="5:8" x14ac:dyDescent="0.25">
      <c r="E1647" t="str">
        <f>""</f>
        <v/>
      </c>
      <c r="F1647" t="str">
        <f>""</f>
        <v/>
      </c>
      <c r="G1647" s="3">
        <v>139.68</v>
      </c>
      <c r="H1647" t="str">
        <f t="shared" si="29"/>
        <v>GUARDIAN</v>
      </c>
    </row>
    <row r="1648" spans="5:8" x14ac:dyDescent="0.25">
      <c r="E1648" t="str">
        <f>""</f>
        <v/>
      </c>
      <c r="F1648" t="str">
        <f>""</f>
        <v/>
      </c>
      <c r="G1648" s="3">
        <v>106.56</v>
      </c>
      <c r="H1648" t="str">
        <f t="shared" si="29"/>
        <v>GUARDIAN</v>
      </c>
    </row>
    <row r="1649" spans="5:8" x14ac:dyDescent="0.25">
      <c r="E1649" t="str">
        <f>""</f>
        <v/>
      </c>
      <c r="F1649" t="str">
        <f>""</f>
        <v/>
      </c>
      <c r="G1649" s="3">
        <v>15.39</v>
      </c>
      <c r="H1649" t="str">
        <f t="shared" si="29"/>
        <v>GUARDIAN</v>
      </c>
    </row>
    <row r="1650" spans="5:8" x14ac:dyDescent="0.25">
      <c r="E1650" t="str">
        <f>""</f>
        <v/>
      </c>
      <c r="F1650" t="str">
        <f>""</f>
        <v/>
      </c>
      <c r="G1650" s="3">
        <v>3.97</v>
      </c>
      <c r="H1650" t="str">
        <f t="shared" si="29"/>
        <v>GUARDIAN</v>
      </c>
    </row>
    <row r="1651" spans="5:8" x14ac:dyDescent="0.25">
      <c r="E1651" t="str">
        <f>""</f>
        <v/>
      </c>
      <c r="F1651" t="str">
        <f>""</f>
        <v/>
      </c>
      <c r="G1651" s="3">
        <v>15.39</v>
      </c>
      <c r="H1651" t="str">
        <f t="shared" si="29"/>
        <v>GUARDIAN</v>
      </c>
    </row>
    <row r="1652" spans="5:8" x14ac:dyDescent="0.25">
      <c r="E1652" t="str">
        <f>""</f>
        <v/>
      </c>
      <c r="F1652" t="str">
        <f>""</f>
        <v/>
      </c>
      <c r="G1652" s="3">
        <v>15.39</v>
      </c>
      <c r="H1652" t="str">
        <f t="shared" si="29"/>
        <v>GUARDIAN</v>
      </c>
    </row>
    <row r="1653" spans="5:8" x14ac:dyDescent="0.25">
      <c r="E1653" t="str">
        <f>""</f>
        <v/>
      </c>
      <c r="F1653" t="str">
        <f>""</f>
        <v/>
      </c>
      <c r="G1653" s="3">
        <v>85.66</v>
      </c>
      <c r="H1653" t="str">
        <f t="shared" si="29"/>
        <v>GUARDIAN</v>
      </c>
    </row>
    <row r="1654" spans="5:8" x14ac:dyDescent="0.25">
      <c r="E1654" t="str">
        <f>""</f>
        <v/>
      </c>
      <c r="F1654" t="str">
        <f>""</f>
        <v/>
      </c>
      <c r="G1654" s="3">
        <v>61.56</v>
      </c>
      <c r="H1654" t="str">
        <f t="shared" si="29"/>
        <v>GUARDIAN</v>
      </c>
    </row>
    <row r="1655" spans="5:8" x14ac:dyDescent="0.25">
      <c r="E1655" t="str">
        <f>""</f>
        <v/>
      </c>
      <c r="F1655" t="str">
        <f>""</f>
        <v/>
      </c>
      <c r="G1655" s="3">
        <v>30.78</v>
      </c>
      <c r="H1655" t="str">
        <f t="shared" si="29"/>
        <v>GUARDIAN</v>
      </c>
    </row>
    <row r="1656" spans="5:8" x14ac:dyDescent="0.25">
      <c r="E1656" t="str">
        <f>""</f>
        <v/>
      </c>
      <c r="F1656" t="str">
        <f>""</f>
        <v/>
      </c>
      <c r="G1656" s="3">
        <v>61.56</v>
      </c>
      <c r="H1656" t="str">
        <f t="shared" si="29"/>
        <v>GUARDIAN</v>
      </c>
    </row>
    <row r="1657" spans="5:8" x14ac:dyDescent="0.25">
      <c r="E1657" t="str">
        <f>""</f>
        <v/>
      </c>
      <c r="F1657" t="str">
        <f>""</f>
        <v/>
      </c>
      <c r="G1657" s="3">
        <v>26.81</v>
      </c>
      <c r="H1657" t="str">
        <f t="shared" si="29"/>
        <v>GUARDIAN</v>
      </c>
    </row>
    <row r="1658" spans="5:8" x14ac:dyDescent="0.25">
      <c r="E1658" t="str">
        <f>""</f>
        <v/>
      </c>
      <c r="F1658" t="str">
        <f>""</f>
        <v/>
      </c>
      <c r="G1658" s="3">
        <v>0.78</v>
      </c>
      <c r="H1658" t="str">
        <f t="shared" si="29"/>
        <v>GUARDIAN</v>
      </c>
    </row>
    <row r="1659" spans="5:8" x14ac:dyDescent="0.25">
      <c r="E1659" t="str">
        <f>""</f>
        <v/>
      </c>
      <c r="F1659" t="str">
        <f>""</f>
        <v/>
      </c>
      <c r="G1659" s="3">
        <v>984.69</v>
      </c>
      <c r="H1659" t="str">
        <f t="shared" si="29"/>
        <v>GUARDIAN</v>
      </c>
    </row>
    <row r="1660" spans="5:8" x14ac:dyDescent="0.25">
      <c r="E1660" t="str">
        <f>"GDS202110136442"</f>
        <v>GDS202110136442</v>
      </c>
      <c r="F1660" t="str">
        <f>"GUARDIAN"</f>
        <v>GUARDIAN</v>
      </c>
      <c r="G1660" s="3">
        <v>15.39</v>
      </c>
      <c r="H1660" t="str">
        <f t="shared" si="29"/>
        <v>GUARDIAN</v>
      </c>
    </row>
    <row r="1661" spans="5:8" x14ac:dyDescent="0.25">
      <c r="E1661" t="str">
        <f>""</f>
        <v/>
      </c>
      <c r="F1661" t="str">
        <f>""</f>
        <v/>
      </c>
      <c r="G1661" s="3">
        <v>15.63</v>
      </c>
      <c r="H1661" t="str">
        <f t="shared" si="29"/>
        <v>GUARDIAN</v>
      </c>
    </row>
    <row r="1662" spans="5:8" x14ac:dyDescent="0.25">
      <c r="E1662" t="str">
        <f>"GV1202109295920"</f>
        <v>GV1202109295920</v>
      </c>
      <c r="F1662" t="str">
        <f>"GUARDIAN VISION"</f>
        <v>GUARDIAN VISION</v>
      </c>
      <c r="G1662" s="3">
        <v>464.8</v>
      </c>
      <c r="H1662" t="str">
        <f>"GUARDIAN VISION"</f>
        <v>GUARDIAN VISION</v>
      </c>
    </row>
    <row r="1663" spans="5:8" x14ac:dyDescent="0.25">
      <c r="E1663" t="str">
        <f>"GV1202109295921"</f>
        <v>GV1202109295921</v>
      </c>
      <c r="F1663" t="str">
        <f>"GUARDIAN VISION"</f>
        <v>GUARDIAN VISION</v>
      </c>
      <c r="G1663" s="3">
        <v>5.6</v>
      </c>
      <c r="H1663" t="str">
        <f>"GUARDIAN VISION"</f>
        <v>GUARDIAN VISION</v>
      </c>
    </row>
    <row r="1664" spans="5:8" x14ac:dyDescent="0.25">
      <c r="E1664" t="str">
        <f>"GV1202110136441"</f>
        <v>GV1202110136441</v>
      </c>
      <c r="F1664" t="str">
        <f>"GUARDIAN VISION"</f>
        <v>GUARDIAN VISION</v>
      </c>
      <c r="G1664" s="3">
        <v>464.8</v>
      </c>
      <c r="H1664" t="str">
        <f>"GUARDIAN VISION"</f>
        <v>GUARDIAN VISION</v>
      </c>
    </row>
    <row r="1665" spans="5:8" x14ac:dyDescent="0.25">
      <c r="E1665" t="str">
        <f>"GV1202110136442"</f>
        <v>GV1202110136442</v>
      </c>
      <c r="F1665" t="str">
        <f>"GUARDIAN VISION"</f>
        <v>GUARDIAN VISION</v>
      </c>
      <c r="G1665" s="3">
        <v>5.6</v>
      </c>
      <c r="H1665" t="str">
        <f>"GUARDIAN VISION"</f>
        <v>GUARDIAN VISION</v>
      </c>
    </row>
    <row r="1666" spans="5:8" x14ac:dyDescent="0.25">
      <c r="E1666" t="str">
        <f>"GVE202109295920"</f>
        <v>GVE202109295920</v>
      </c>
      <c r="F1666" t="str">
        <f>"GUARDIAN VISION VENDOR"</f>
        <v>GUARDIAN VISION VENDOR</v>
      </c>
      <c r="G1666" s="3">
        <v>612.54</v>
      </c>
      <c r="H1666" t="str">
        <f>"GUARDIAN VISION VENDOR"</f>
        <v>GUARDIAN VISION VENDOR</v>
      </c>
    </row>
    <row r="1667" spans="5:8" x14ac:dyDescent="0.25">
      <c r="E1667" t="str">
        <f>"GVE202109295921"</f>
        <v>GVE202109295921</v>
      </c>
      <c r="F1667" t="str">
        <f>"GUARDIAN VISION VENDOR"</f>
        <v>GUARDIAN VISION VENDOR</v>
      </c>
      <c r="G1667" s="3">
        <v>29.52</v>
      </c>
      <c r="H1667" t="str">
        <f>"GUARDIAN VISION VENDOR"</f>
        <v>GUARDIAN VISION VENDOR</v>
      </c>
    </row>
    <row r="1668" spans="5:8" x14ac:dyDescent="0.25">
      <c r="E1668" t="str">
        <f>"GVE202110136441"</f>
        <v>GVE202110136441</v>
      </c>
      <c r="F1668" t="str">
        <f>"GUARDIAN VISION VENDOR"</f>
        <v>GUARDIAN VISION VENDOR</v>
      </c>
      <c r="G1668" s="3">
        <v>612.54</v>
      </c>
      <c r="H1668" t="str">
        <f>"GUARDIAN VISION VENDOR"</f>
        <v>GUARDIAN VISION VENDOR</v>
      </c>
    </row>
    <row r="1669" spans="5:8" x14ac:dyDescent="0.25">
      <c r="E1669" t="str">
        <f>"GVE202110136442"</f>
        <v>GVE202110136442</v>
      </c>
      <c r="F1669" t="str">
        <f>"GUARDIAN VISION VENDOR"</f>
        <v>GUARDIAN VISION VENDOR</v>
      </c>
      <c r="G1669" s="3">
        <v>29.52</v>
      </c>
      <c r="H1669" t="str">
        <f>"GUARDIAN VISION VENDOR"</f>
        <v>GUARDIAN VISION VENDOR</v>
      </c>
    </row>
    <row r="1670" spans="5:8" x14ac:dyDescent="0.25">
      <c r="E1670" t="str">
        <f>"GVF202109295920"</f>
        <v>GVF202109295920</v>
      </c>
      <c r="F1670" t="str">
        <f>"GUARDIAN VISION"</f>
        <v>GUARDIAN VISION</v>
      </c>
      <c r="G1670" s="3">
        <v>581.15</v>
      </c>
      <c r="H1670" t="str">
        <f>"GUARDIAN VISION"</f>
        <v>GUARDIAN VISION</v>
      </c>
    </row>
    <row r="1671" spans="5:8" x14ac:dyDescent="0.25">
      <c r="E1671" t="str">
        <f>"GVF202109295921"</f>
        <v>GVF202109295921</v>
      </c>
      <c r="F1671" t="str">
        <f>"GUARDIAN VISION VENDOR"</f>
        <v>GUARDIAN VISION VENDOR</v>
      </c>
      <c r="G1671" s="3">
        <v>29.55</v>
      </c>
      <c r="H1671" t="str">
        <f>"GUARDIAN VISION VENDOR"</f>
        <v>GUARDIAN VISION VENDOR</v>
      </c>
    </row>
    <row r="1672" spans="5:8" x14ac:dyDescent="0.25">
      <c r="E1672" t="str">
        <f>"GVF202110136441"</f>
        <v>GVF202110136441</v>
      </c>
      <c r="F1672" t="str">
        <f>"GUARDIAN VISION"</f>
        <v>GUARDIAN VISION</v>
      </c>
      <c r="G1672" s="3">
        <v>581.15</v>
      </c>
      <c r="H1672" t="str">
        <f>"GUARDIAN VISION"</f>
        <v>GUARDIAN VISION</v>
      </c>
    </row>
    <row r="1673" spans="5:8" x14ac:dyDescent="0.25">
      <c r="E1673" t="str">
        <f>"GVF202110136442"</f>
        <v>GVF202110136442</v>
      </c>
      <c r="F1673" t="str">
        <f>"GUARDIAN VISION VENDOR"</f>
        <v>GUARDIAN VISION VENDOR</v>
      </c>
      <c r="G1673" s="3">
        <v>29.55</v>
      </c>
      <c r="H1673" t="str">
        <f>"GUARDIAN VISION VENDOR"</f>
        <v>GUARDIAN VISION VENDOR</v>
      </c>
    </row>
    <row r="1674" spans="5:8" x14ac:dyDescent="0.25">
      <c r="E1674" t="str">
        <f>"LIA202109295920"</f>
        <v>LIA202109295920</v>
      </c>
      <c r="F1674" t="str">
        <f>"GUARDIAN"</f>
        <v>GUARDIAN</v>
      </c>
      <c r="G1674" s="3">
        <v>0.86</v>
      </c>
      <c r="H1674" t="str">
        <f t="shared" ref="H1674:H1737" si="30">"GUARDIAN"</f>
        <v>GUARDIAN</v>
      </c>
    </row>
    <row r="1675" spans="5:8" x14ac:dyDescent="0.25">
      <c r="E1675" t="str">
        <f>""</f>
        <v/>
      </c>
      <c r="F1675" t="str">
        <f>""</f>
        <v/>
      </c>
      <c r="G1675" s="3">
        <v>0.74</v>
      </c>
      <c r="H1675" t="str">
        <f t="shared" si="30"/>
        <v>GUARDIAN</v>
      </c>
    </row>
    <row r="1676" spans="5:8" x14ac:dyDescent="0.25">
      <c r="E1676" t="str">
        <f>""</f>
        <v/>
      </c>
      <c r="F1676" t="str">
        <f>""</f>
        <v/>
      </c>
      <c r="G1676" s="3">
        <v>1.4</v>
      </c>
      <c r="H1676" t="str">
        <f t="shared" si="30"/>
        <v>GUARDIAN</v>
      </c>
    </row>
    <row r="1677" spans="5:8" x14ac:dyDescent="0.25">
      <c r="E1677" t="str">
        <f>""</f>
        <v/>
      </c>
      <c r="F1677" t="str">
        <f>""</f>
        <v/>
      </c>
      <c r="G1677" s="3">
        <v>1.4</v>
      </c>
      <c r="H1677" t="str">
        <f t="shared" si="30"/>
        <v>GUARDIAN</v>
      </c>
    </row>
    <row r="1678" spans="5:8" x14ac:dyDescent="0.25">
      <c r="E1678" t="str">
        <f>""</f>
        <v/>
      </c>
      <c r="F1678" t="str">
        <f>""</f>
        <v/>
      </c>
      <c r="G1678" s="3">
        <v>6.46</v>
      </c>
      <c r="H1678" t="str">
        <f t="shared" si="30"/>
        <v>GUARDIAN</v>
      </c>
    </row>
    <row r="1679" spans="5:8" x14ac:dyDescent="0.25">
      <c r="E1679" t="str">
        <f>""</f>
        <v/>
      </c>
      <c r="F1679" t="str">
        <f>""</f>
        <v/>
      </c>
      <c r="G1679" s="3">
        <v>0.54</v>
      </c>
      <c r="H1679" t="str">
        <f t="shared" si="30"/>
        <v>GUARDIAN</v>
      </c>
    </row>
    <row r="1680" spans="5:8" x14ac:dyDescent="0.25">
      <c r="E1680" t="str">
        <f>""</f>
        <v/>
      </c>
      <c r="F1680" t="str">
        <f>""</f>
        <v/>
      </c>
      <c r="G1680" s="3">
        <v>2.73</v>
      </c>
      <c r="H1680" t="str">
        <f t="shared" si="30"/>
        <v>GUARDIAN</v>
      </c>
    </row>
    <row r="1681" spans="5:8" x14ac:dyDescent="0.25">
      <c r="E1681" t="str">
        <f>""</f>
        <v/>
      </c>
      <c r="F1681" t="str">
        <f>""</f>
        <v/>
      </c>
      <c r="G1681" s="3">
        <v>0.86</v>
      </c>
      <c r="H1681" t="str">
        <f t="shared" si="30"/>
        <v>GUARDIAN</v>
      </c>
    </row>
    <row r="1682" spans="5:8" x14ac:dyDescent="0.25">
      <c r="E1682" t="str">
        <f>""</f>
        <v/>
      </c>
      <c r="F1682" t="str">
        <f>""</f>
        <v/>
      </c>
      <c r="G1682" s="3">
        <v>1.4</v>
      </c>
      <c r="H1682" t="str">
        <f t="shared" si="30"/>
        <v>GUARDIAN</v>
      </c>
    </row>
    <row r="1683" spans="5:8" x14ac:dyDescent="0.25">
      <c r="E1683" t="str">
        <f>""</f>
        <v/>
      </c>
      <c r="F1683" t="str">
        <f>""</f>
        <v/>
      </c>
      <c r="G1683" s="3">
        <v>1.4</v>
      </c>
      <c r="H1683" t="str">
        <f t="shared" si="30"/>
        <v>GUARDIAN</v>
      </c>
    </row>
    <row r="1684" spans="5:8" x14ac:dyDescent="0.25">
      <c r="E1684" t="str">
        <f>""</f>
        <v/>
      </c>
      <c r="F1684" t="str">
        <f>""</f>
        <v/>
      </c>
      <c r="G1684" s="3">
        <v>0.22</v>
      </c>
      <c r="H1684" t="str">
        <f t="shared" si="30"/>
        <v>GUARDIAN</v>
      </c>
    </row>
    <row r="1685" spans="5:8" x14ac:dyDescent="0.25">
      <c r="E1685" t="str">
        <f>""</f>
        <v/>
      </c>
      <c r="F1685" t="str">
        <f>""</f>
        <v/>
      </c>
      <c r="G1685" s="3">
        <v>0.54</v>
      </c>
      <c r="H1685" t="str">
        <f t="shared" si="30"/>
        <v>GUARDIAN</v>
      </c>
    </row>
    <row r="1686" spans="5:8" x14ac:dyDescent="0.25">
      <c r="E1686" t="str">
        <f>""</f>
        <v/>
      </c>
      <c r="F1686" t="str">
        <f>""</f>
        <v/>
      </c>
      <c r="G1686" s="3">
        <v>0.86</v>
      </c>
      <c r="H1686" t="str">
        <f t="shared" si="30"/>
        <v>GUARDIAN</v>
      </c>
    </row>
    <row r="1687" spans="5:8" x14ac:dyDescent="0.25">
      <c r="E1687" t="str">
        <f>""</f>
        <v/>
      </c>
      <c r="F1687" t="str">
        <f>""</f>
        <v/>
      </c>
      <c r="G1687" s="3">
        <v>3.13</v>
      </c>
      <c r="H1687" t="str">
        <f t="shared" si="30"/>
        <v>GUARDIAN</v>
      </c>
    </row>
    <row r="1688" spans="5:8" x14ac:dyDescent="0.25">
      <c r="E1688" t="str">
        <f>""</f>
        <v/>
      </c>
      <c r="F1688" t="str">
        <f>""</f>
        <v/>
      </c>
      <c r="G1688" s="3">
        <v>1.4</v>
      </c>
      <c r="H1688" t="str">
        <f t="shared" si="30"/>
        <v>GUARDIAN</v>
      </c>
    </row>
    <row r="1689" spans="5:8" x14ac:dyDescent="0.25">
      <c r="E1689" t="str">
        <f>""</f>
        <v/>
      </c>
      <c r="F1689" t="str">
        <f>""</f>
        <v/>
      </c>
      <c r="G1689" s="3">
        <v>0.11</v>
      </c>
      <c r="H1689" t="str">
        <f t="shared" si="30"/>
        <v>GUARDIAN</v>
      </c>
    </row>
    <row r="1690" spans="5:8" x14ac:dyDescent="0.25">
      <c r="E1690" t="str">
        <f>""</f>
        <v/>
      </c>
      <c r="F1690" t="str">
        <f>""</f>
        <v/>
      </c>
      <c r="G1690" s="3">
        <v>0.49</v>
      </c>
      <c r="H1690" t="str">
        <f t="shared" si="30"/>
        <v>GUARDIAN</v>
      </c>
    </row>
    <row r="1691" spans="5:8" x14ac:dyDescent="0.25">
      <c r="E1691" t="str">
        <f>""</f>
        <v/>
      </c>
      <c r="F1691" t="str">
        <f>""</f>
        <v/>
      </c>
      <c r="G1691" s="3">
        <v>1.4</v>
      </c>
      <c r="H1691" t="str">
        <f t="shared" si="30"/>
        <v>GUARDIAN</v>
      </c>
    </row>
    <row r="1692" spans="5:8" x14ac:dyDescent="0.25">
      <c r="E1692" t="str">
        <f>""</f>
        <v/>
      </c>
      <c r="F1692" t="str">
        <f>""</f>
        <v/>
      </c>
      <c r="G1692" s="3">
        <v>3.29</v>
      </c>
      <c r="H1692" t="str">
        <f t="shared" si="30"/>
        <v>GUARDIAN</v>
      </c>
    </row>
    <row r="1693" spans="5:8" x14ac:dyDescent="0.25">
      <c r="E1693" t="str">
        <f>""</f>
        <v/>
      </c>
      <c r="F1693" t="str">
        <f>""</f>
        <v/>
      </c>
      <c r="G1693" s="3">
        <v>0.75</v>
      </c>
      <c r="H1693" t="str">
        <f t="shared" si="30"/>
        <v>GUARDIAN</v>
      </c>
    </row>
    <row r="1694" spans="5:8" x14ac:dyDescent="0.25">
      <c r="E1694" t="str">
        <f>""</f>
        <v/>
      </c>
      <c r="F1694" t="str">
        <f>""</f>
        <v/>
      </c>
      <c r="G1694" s="3">
        <v>7.0000000000000007E-2</v>
      </c>
      <c r="H1694" t="str">
        <f t="shared" si="30"/>
        <v>GUARDIAN</v>
      </c>
    </row>
    <row r="1695" spans="5:8" x14ac:dyDescent="0.25">
      <c r="E1695" t="str">
        <f>""</f>
        <v/>
      </c>
      <c r="F1695" t="str">
        <f>""</f>
        <v/>
      </c>
      <c r="G1695" s="3">
        <v>271.48</v>
      </c>
      <c r="H1695" t="str">
        <f t="shared" si="30"/>
        <v>GUARDIAN</v>
      </c>
    </row>
    <row r="1696" spans="5:8" x14ac:dyDescent="0.25">
      <c r="E1696" t="str">
        <f>"LIA202109295921"</f>
        <v>LIA202109295921</v>
      </c>
      <c r="F1696" t="str">
        <f>"GUARDIAN"</f>
        <v>GUARDIAN</v>
      </c>
      <c r="G1696" s="3">
        <v>1.4</v>
      </c>
      <c r="H1696" t="str">
        <f t="shared" si="30"/>
        <v>GUARDIAN</v>
      </c>
    </row>
    <row r="1697" spans="5:8" x14ac:dyDescent="0.25">
      <c r="E1697" t="str">
        <f>""</f>
        <v/>
      </c>
      <c r="F1697" t="str">
        <f>""</f>
        <v/>
      </c>
      <c r="G1697" s="3">
        <v>39.590000000000003</v>
      </c>
      <c r="H1697" t="str">
        <f t="shared" si="30"/>
        <v>GUARDIAN</v>
      </c>
    </row>
    <row r="1698" spans="5:8" x14ac:dyDescent="0.25">
      <c r="E1698" t="str">
        <f>"LIA202110136441"</f>
        <v>LIA202110136441</v>
      </c>
      <c r="F1698" t="str">
        <f>"GUARDIAN"</f>
        <v>GUARDIAN</v>
      </c>
      <c r="G1698" s="3">
        <v>0.86</v>
      </c>
      <c r="H1698" t="str">
        <f t="shared" si="30"/>
        <v>GUARDIAN</v>
      </c>
    </row>
    <row r="1699" spans="5:8" x14ac:dyDescent="0.25">
      <c r="E1699" t="str">
        <f>""</f>
        <v/>
      </c>
      <c r="F1699" t="str">
        <f>""</f>
        <v/>
      </c>
      <c r="G1699" s="3">
        <v>0.74</v>
      </c>
      <c r="H1699" t="str">
        <f t="shared" si="30"/>
        <v>GUARDIAN</v>
      </c>
    </row>
    <row r="1700" spans="5:8" x14ac:dyDescent="0.25">
      <c r="E1700" t="str">
        <f>""</f>
        <v/>
      </c>
      <c r="F1700" t="str">
        <f>""</f>
        <v/>
      </c>
      <c r="G1700" s="3">
        <v>1.4</v>
      </c>
      <c r="H1700" t="str">
        <f t="shared" si="30"/>
        <v>GUARDIAN</v>
      </c>
    </row>
    <row r="1701" spans="5:8" x14ac:dyDescent="0.25">
      <c r="E1701" t="str">
        <f>""</f>
        <v/>
      </c>
      <c r="F1701" t="str">
        <f>""</f>
        <v/>
      </c>
      <c r="G1701" s="3">
        <v>1.4</v>
      </c>
      <c r="H1701" t="str">
        <f t="shared" si="30"/>
        <v>GUARDIAN</v>
      </c>
    </row>
    <row r="1702" spans="5:8" x14ac:dyDescent="0.25">
      <c r="E1702" t="str">
        <f>""</f>
        <v/>
      </c>
      <c r="F1702" t="str">
        <f>""</f>
        <v/>
      </c>
      <c r="G1702" s="3">
        <v>6.46</v>
      </c>
      <c r="H1702" t="str">
        <f t="shared" si="30"/>
        <v>GUARDIAN</v>
      </c>
    </row>
    <row r="1703" spans="5:8" x14ac:dyDescent="0.25">
      <c r="E1703" t="str">
        <f>""</f>
        <v/>
      </c>
      <c r="F1703" t="str">
        <f>""</f>
        <v/>
      </c>
      <c r="G1703" s="3">
        <v>0.54</v>
      </c>
      <c r="H1703" t="str">
        <f t="shared" si="30"/>
        <v>GUARDIAN</v>
      </c>
    </row>
    <row r="1704" spans="5:8" x14ac:dyDescent="0.25">
      <c r="E1704" t="str">
        <f>""</f>
        <v/>
      </c>
      <c r="F1704" t="str">
        <f>""</f>
        <v/>
      </c>
      <c r="G1704" s="3">
        <v>2.73</v>
      </c>
      <c r="H1704" t="str">
        <f t="shared" si="30"/>
        <v>GUARDIAN</v>
      </c>
    </row>
    <row r="1705" spans="5:8" x14ac:dyDescent="0.25">
      <c r="E1705" t="str">
        <f>""</f>
        <v/>
      </c>
      <c r="F1705" t="str">
        <f>""</f>
        <v/>
      </c>
      <c r="G1705" s="3">
        <v>0.86</v>
      </c>
      <c r="H1705" t="str">
        <f t="shared" si="30"/>
        <v>GUARDIAN</v>
      </c>
    </row>
    <row r="1706" spans="5:8" x14ac:dyDescent="0.25">
      <c r="E1706" t="str">
        <f>""</f>
        <v/>
      </c>
      <c r="F1706" t="str">
        <f>""</f>
        <v/>
      </c>
      <c r="G1706" s="3">
        <v>1.4</v>
      </c>
      <c r="H1706" t="str">
        <f t="shared" si="30"/>
        <v>GUARDIAN</v>
      </c>
    </row>
    <row r="1707" spans="5:8" x14ac:dyDescent="0.25">
      <c r="E1707" t="str">
        <f>""</f>
        <v/>
      </c>
      <c r="F1707" t="str">
        <f>""</f>
        <v/>
      </c>
      <c r="G1707" s="3">
        <v>1.4</v>
      </c>
      <c r="H1707" t="str">
        <f t="shared" si="30"/>
        <v>GUARDIAN</v>
      </c>
    </row>
    <row r="1708" spans="5:8" x14ac:dyDescent="0.25">
      <c r="E1708" t="str">
        <f>""</f>
        <v/>
      </c>
      <c r="F1708" t="str">
        <f>""</f>
        <v/>
      </c>
      <c r="G1708" s="3">
        <v>0.22</v>
      </c>
      <c r="H1708" t="str">
        <f t="shared" si="30"/>
        <v>GUARDIAN</v>
      </c>
    </row>
    <row r="1709" spans="5:8" x14ac:dyDescent="0.25">
      <c r="E1709" t="str">
        <f>""</f>
        <v/>
      </c>
      <c r="F1709" t="str">
        <f>""</f>
        <v/>
      </c>
      <c r="G1709" s="3">
        <v>0.54</v>
      </c>
      <c r="H1709" t="str">
        <f t="shared" si="30"/>
        <v>GUARDIAN</v>
      </c>
    </row>
    <row r="1710" spans="5:8" x14ac:dyDescent="0.25">
      <c r="E1710" t="str">
        <f>""</f>
        <v/>
      </c>
      <c r="F1710" t="str">
        <f>""</f>
        <v/>
      </c>
      <c r="G1710" s="3">
        <v>0.86</v>
      </c>
      <c r="H1710" t="str">
        <f t="shared" si="30"/>
        <v>GUARDIAN</v>
      </c>
    </row>
    <row r="1711" spans="5:8" x14ac:dyDescent="0.25">
      <c r="E1711" t="str">
        <f>""</f>
        <v/>
      </c>
      <c r="F1711" t="str">
        <f>""</f>
        <v/>
      </c>
      <c r="G1711" s="3">
        <v>3.13</v>
      </c>
      <c r="H1711" t="str">
        <f t="shared" si="30"/>
        <v>GUARDIAN</v>
      </c>
    </row>
    <row r="1712" spans="5:8" x14ac:dyDescent="0.25">
      <c r="E1712" t="str">
        <f>""</f>
        <v/>
      </c>
      <c r="F1712" t="str">
        <f>""</f>
        <v/>
      </c>
      <c r="G1712" s="3">
        <v>1.4</v>
      </c>
      <c r="H1712" t="str">
        <f t="shared" si="30"/>
        <v>GUARDIAN</v>
      </c>
    </row>
    <row r="1713" spans="5:8" x14ac:dyDescent="0.25">
      <c r="E1713" t="str">
        <f>""</f>
        <v/>
      </c>
      <c r="F1713" t="str">
        <f>""</f>
        <v/>
      </c>
      <c r="G1713" s="3">
        <v>0.11</v>
      </c>
      <c r="H1713" t="str">
        <f t="shared" si="30"/>
        <v>GUARDIAN</v>
      </c>
    </row>
    <row r="1714" spans="5:8" x14ac:dyDescent="0.25">
      <c r="E1714" t="str">
        <f>""</f>
        <v/>
      </c>
      <c r="F1714" t="str">
        <f>""</f>
        <v/>
      </c>
      <c r="G1714" s="3">
        <v>0.49</v>
      </c>
      <c r="H1714" t="str">
        <f t="shared" si="30"/>
        <v>GUARDIAN</v>
      </c>
    </row>
    <row r="1715" spans="5:8" x14ac:dyDescent="0.25">
      <c r="E1715" t="str">
        <f>""</f>
        <v/>
      </c>
      <c r="F1715" t="str">
        <f>""</f>
        <v/>
      </c>
      <c r="G1715" s="3">
        <v>1.4</v>
      </c>
      <c r="H1715" t="str">
        <f t="shared" si="30"/>
        <v>GUARDIAN</v>
      </c>
    </row>
    <row r="1716" spans="5:8" x14ac:dyDescent="0.25">
      <c r="E1716" t="str">
        <f>""</f>
        <v/>
      </c>
      <c r="F1716" t="str">
        <f>""</f>
        <v/>
      </c>
      <c r="G1716" s="3">
        <v>3.29</v>
      </c>
      <c r="H1716" t="str">
        <f t="shared" si="30"/>
        <v>GUARDIAN</v>
      </c>
    </row>
    <row r="1717" spans="5:8" x14ac:dyDescent="0.25">
      <c r="E1717" t="str">
        <f>""</f>
        <v/>
      </c>
      <c r="F1717" t="str">
        <f>""</f>
        <v/>
      </c>
      <c r="G1717" s="3">
        <v>0.75</v>
      </c>
      <c r="H1717" t="str">
        <f t="shared" si="30"/>
        <v>GUARDIAN</v>
      </c>
    </row>
    <row r="1718" spans="5:8" x14ac:dyDescent="0.25">
      <c r="E1718" t="str">
        <f>""</f>
        <v/>
      </c>
      <c r="F1718" t="str">
        <f>""</f>
        <v/>
      </c>
      <c r="G1718" s="3">
        <v>7.0000000000000007E-2</v>
      </c>
      <c r="H1718" t="str">
        <f t="shared" si="30"/>
        <v>GUARDIAN</v>
      </c>
    </row>
    <row r="1719" spans="5:8" x14ac:dyDescent="0.25">
      <c r="E1719" t="str">
        <f>""</f>
        <v/>
      </c>
      <c r="F1719" t="str">
        <f>""</f>
        <v/>
      </c>
      <c r="G1719" s="3">
        <v>271.48</v>
      </c>
      <c r="H1719" t="str">
        <f t="shared" si="30"/>
        <v>GUARDIAN</v>
      </c>
    </row>
    <row r="1720" spans="5:8" x14ac:dyDescent="0.25">
      <c r="E1720" t="str">
        <f>"LIA202110136442"</f>
        <v>LIA202110136442</v>
      </c>
      <c r="F1720" t="str">
        <f>"GUARDIAN"</f>
        <v>GUARDIAN</v>
      </c>
      <c r="G1720" s="3">
        <v>1.4</v>
      </c>
      <c r="H1720" t="str">
        <f t="shared" si="30"/>
        <v>GUARDIAN</v>
      </c>
    </row>
    <row r="1721" spans="5:8" x14ac:dyDescent="0.25">
      <c r="E1721" t="str">
        <f>""</f>
        <v/>
      </c>
      <c r="F1721" t="str">
        <f>""</f>
        <v/>
      </c>
      <c r="G1721" s="3">
        <v>39.590000000000003</v>
      </c>
      <c r="H1721" t="str">
        <f t="shared" si="30"/>
        <v>GUARDIAN</v>
      </c>
    </row>
    <row r="1722" spans="5:8" x14ac:dyDescent="0.25">
      <c r="E1722" t="str">
        <f>"LIC202109295920"</f>
        <v>LIC202109295920</v>
      </c>
      <c r="F1722" t="str">
        <f>"GUARDIAN"</f>
        <v>GUARDIAN</v>
      </c>
      <c r="G1722" s="3">
        <v>37.03</v>
      </c>
      <c r="H1722" t="str">
        <f t="shared" si="30"/>
        <v>GUARDIAN</v>
      </c>
    </row>
    <row r="1723" spans="5:8" x14ac:dyDescent="0.25">
      <c r="E1723" t="str">
        <f>"LIC202109295921"</f>
        <v>LIC202109295921</v>
      </c>
      <c r="F1723" t="str">
        <f>"GUARDIAN"</f>
        <v>GUARDIAN</v>
      </c>
      <c r="G1723" s="3">
        <v>0.7</v>
      </c>
      <c r="H1723" t="str">
        <f t="shared" si="30"/>
        <v>GUARDIAN</v>
      </c>
    </row>
    <row r="1724" spans="5:8" x14ac:dyDescent="0.25">
      <c r="E1724" t="str">
        <f>"LIC202110136441"</f>
        <v>LIC202110136441</v>
      </c>
      <c r="F1724" t="str">
        <f>"GUARDIAN"</f>
        <v>GUARDIAN</v>
      </c>
      <c r="G1724" s="3">
        <v>37.03</v>
      </c>
      <c r="H1724" t="str">
        <f t="shared" si="30"/>
        <v>GUARDIAN</v>
      </c>
    </row>
    <row r="1725" spans="5:8" x14ac:dyDescent="0.25">
      <c r="E1725" t="str">
        <f>"LIC202110136442"</f>
        <v>LIC202110136442</v>
      </c>
      <c r="F1725" t="str">
        <f>"GUARDIAN"</f>
        <v>GUARDIAN</v>
      </c>
      <c r="G1725" s="3">
        <v>0.7</v>
      </c>
      <c r="H1725" t="str">
        <f t="shared" si="30"/>
        <v>GUARDIAN</v>
      </c>
    </row>
    <row r="1726" spans="5:8" x14ac:dyDescent="0.25">
      <c r="E1726" t="str">
        <f>"LIE202109295920"</f>
        <v>LIE202109295920</v>
      </c>
      <c r="F1726" t="str">
        <f>"GUARDIAN"</f>
        <v>GUARDIAN</v>
      </c>
      <c r="G1726" s="3">
        <v>4.3</v>
      </c>
      <c r="H1726" t="str">
        <f t="shared" si="30"/>
        <v>GUARDIAN</v>
      </c>
    </row>
    <row r="1727" spans="5:8" x14ac:dyDescent="0.25">
      <c r="E1727" t="str">
        <f>""</f>
        <v/>
      </c>
      <c r="F1727" t="str">
        <f>""</f>
        <v/>
      </c>
      <c r="G1727" s="3">
        <v>1.86</v>
      </c>
      <c r="H1727" t="str">
        <f t="shared" si="30"/>
        <v>GUARDIAN</v>
      </c>
    </row>
    <row r="1728" spans="5:8" x14ac:dyDescent="0.25">
      <c r="E1728" t="str">
        <f>""</f>
        <v/>
      </c>
      <c r="F1728" t="str">
        <f>""</f>
        <v/>
      </c>
      <c r="G1728" s="3">
        <v>16.96</v>
      </c>
      <c r="H1728" t="str">
        <f t="shared" si="30"/>
        <v>GUARDIAN</v>
      </c>
    </row>
    <row r="1729" spans="5:8" x14ac:dyDescent="0.25">
      <c r="E1729" t="str">
        <f>""</f>
        <v/>
      </c>
      <c r="F1729" t="str">
        <f>""</f>
        <v/>
      </c>
      <c r="G1729" s="3">
        <v>6.45</v>
      </c>
      <c r="H1729" t="str">
        <f t="shared" si="30"/>
        <v>GUARDIAN</v>
      </c>
    </row>
    <row r="1730" spans="5:8" x14ac:dyDescent="0.25">
      <c r="E1730" t="str">
        <f>""</f>
        <v/>
      </c>
      <c r="F1730" t="str">
        <f>""</f>
        <v/>
      </c>
      <c r="G1730" s="3">
        <v>4.3</v>
      </c>
      <c r="H1730" t="str">
        <f t="shared" si="30"/>
        <v>GUARDIAN</v>
      </c>
    </row>
    <row r="1731" spans="5:8" x14ac:dyDescent="0.25">
      <c r="E1731" t="str">
        <f>""</f>
        <v/>
      </c>
      <c r="F1731" t="str">
        <f>""</f>
        <v/>
      </c>
      <c r="G1731" s="3">
        <v>12.9</v>
      </c>
      <c r="H1731" t="str">
        <f t="shared" si="30"/>
        <v>GUARDIAN</v>
      </c>
    </row>
    <row r="1732" spans="5:8" x14ac:dyDescent="0.25">
      <c r="E1732" t="str">
        <f>""</f>
        <v/>
      </c>
      <c r="F1732" t="str">
        <f>""</f>
        <v/>
      </c>
      <c r="G1732" s="3">
        <v>45.15</v>
      </c>
      <c r="H1732" t="str">
        <f t="shared" si="30"/>
        <v>GUARDIAN</v>
      </c>
    </row>
    <row r="1733" spans="5:8" x14ac:dyDescent="0.25">
      <c r="E1733" t="str">
        <f>""</f>
        <v/>
      </c>
      <c r="F1733" t="str">
        <f>""</f>
        <v/>
      </c>
      <c r="G1733" s="3">
        <v>2.15</v>
      </c>
      <c r="H1733" t="str">
        <f t="shared" si="30"/>
        <v>GUARDIAN</v>
      </c>
    </row>
    <row r="1734" spans="5:8" x14ac:dyDescent="0.25">
      <c r="E1734" t="str">
        <f>""</f>
        <v/>
      </c>
      <c r="F1734" t="str">
        <f>""</f>
        <v/>
      </c>
      <c r="G1734" s="3">
        <v>6.15</v>
      </c>
      <c r="H1734" t="str">
        <f t="shared" si="30"/>
        <v>GUARDIAN</v>
      </c>
    </row>
    <row r="1735" spans="5:8" x14ac:dyDescent="0.25">
      <c r="E1735" t="str">
        <f>""</f>
        <v/>
      </c>
      <c r="F1735" t="str">
        <f>""</f>
        <v/>
      </c>
      <c r="G1735" s="3">
        <v>10.75</v>
      </c>
      <c r="H1735" t="str">
        <f t="shared" si="30"/>
        <v>GUARDIAN</v>
      </c>
    </row>
    <row r="1736" spans="5:8" x14ac:dyDescent="0.25">
      <c r="E1736" t="str">
        <f>""</f>
        <v/>
      </c>
      <c r="F1736" t="str">
        <f>""</f>
        <v/>
      </c>
      <c r="G1736" s="3">
        <v>23.65</v>
      </c>
      <c r="H1736" t="str">
        <f t="shared" si="30"/>
        <v>GUARDIAN</v>
      </c>
    </row>
    <row r="1737" spans="5:8" x14ac:dyDescent="0.25">
      <c r="E1737" t="str">
        <f>""</f>
        <v/>
      </c>
      <c r="F1737" t="str">
        <f>""</f>
        <v/>
      </c>
      <c r="G1737" s="3">
        <v>8.6</v>
      </c>
      <c r="H1737" t="str">
        <f t="shared" si="30"/>
        <v>GUARDIAN</v>
      </c>
    </row>
    <row r="1738" spans="5:8" x14ac:dyDescent="0.25">
      <c r="E1738" t="str">
        <f>""</f>
        <v/>
      </c>
      <c r="F1738" t="str">
        <f>""</f>
        <v/>
      </c>
      <c r="G1738" s="3">
        <v>6.45</v>
      </c>
      <c r="H1738" t="str">
        <f t="shared" ref="H1738:H1801" si="31">"GUARDIAN"</f>
        <v>GUARDIAN</v>
      </c>
    </row>
    <row r="1739" spans="5:8" x14ac:dyDescent="0.25">
      <c r="E1739" t="str">
        <f>""</f>
        <v/>
      </c>
      <c r="F1739" t="str">
        <f>""</f>
        <v/>
      </c>
      <c r="G1739" s="3">
        <v>8.6</v>
      </c>
      <c r="H1739" t="str">
        <f t="shared" si="31"/>
        <v>GUARDIAN</v>
      </c>
    </row>
    <row r="1740" spans="5:8" x14ac:dyDescent="0.25">
      <c r="E1740" t="str">
        <f>""</f>
        <v/>
      </c>
      <c r="F1740" t="str">
        <f>""</f>
        <v/>
      </c>
      <c r="G1740" s="3">
        <v>6.45</v>
      </c>
      <c r="H1740" t="str">
        <f t="shared" si="31"/>
        <v>GUARDIAN</v>
      </c>
    </row>
    <row r="1741" spans="5:8" x14ac:dyDescent="0.25">
      <c r="E1741" t="str">
        <f>""</f>
        <v/>
      </c>
      <c r="F1741" t="str">
        <f>""</f>
        <v/>
      </c>
      <c r="G1741" s="3">
        <v>4.3</v>
      </c>
      <c r="H1741" t="str">
        <f t="shared" si="31"/>
        <v>GUARDIAN</v>
      </c>
    </row>
    <row r="1742" spans="5:8" x14ac:dyDescent="0.25">
      <c r="E1742" t="str">
        <f>""</f>
        <v/>
      </c>
      <c r="F1742" t="str">
        <f>""</f>
        <v/>
      </c>
      <c r="G1742" s="3">
        <v>31.31</v>
      </c>
      <c r="H1742" t="str">
        <f t="shared" si="31"/>
        <v>GUARDIAN</v>
      </c>
    </row>
    <row r="1743" spans="5:8" x14ac:dyDescent="0.25">
      <c r="E1743" t="str">
        <f>""</f>
        <v/>
      </c>
      <c r="F1743" t="str">
        <f>""</f>
        <v/>
      </c>
      <c r="G1743" s="3">
        <v>15.05</v>
      </c>
      <c r="H1743" t="str">
        <f t="shared" si="31"/>
        <v>GUARDIAN</v>
      </c>
    </row>
    <row r="1744" spans="5:8" x14ac:dyDescent="0.25">
      <c r="E1744" t="str">
        <f>""</f>
        <v/>
      </c>
      <c r="F1744" t="str">
        <f>""</f>
        <v/>
      </c>
      <c r="G1744" s="3">
        <v>8.6</v>
      </c>
      <c r="H1744" t="str">
        <f t="shared" si="31"/>
        <v>GUARDIAN</v>
      </c>
    </row>
    <row r="1745" spans="5:8" x14ac:dyDescent="0.25">
      <c r="E1745" t="str">
        <f>""</f>
        <v/>
      </c>
      <c r="F1745" t="str">
        <f>""</f>
        <v/>
      </c>
      <c r="G1745" s="3">
        <v>8.6</v>
      </c>
      <c r="H1745" t="str">
        <f t="shared" si="31"/>
        <v>GUARDIAN</v>
      </c>
    </row>
    <row r="1746" spans="5:8" x14ac:dyDescent="0.25">
      <c r="E1746" t="str">
        <f>""</f>
        <v/>
      </c>
      <c r="F1746" t="str">
        <f>""</f>
        <v/>
      </c>
      <c r="G1746" s="3">
        <v>27.95</v>
      </c>
      <c r="H1746" t="str">
        <f t="shared" si="31"/>
        <v>GUARDIAN</v>
      </c>
    </row>
    <row r="1747" spans="5:8" x14ac:dyDescent="0.25">
      <c r="E1747" t="str">
        <f>""</f>
        <v/>
      </c>
      <c r="F1747" t="str">
        <f>""</f>
        <v/>
      </c>
      <c r="G1747" s="3">
        <v>12.9</v>
      </c>
      <c r="H1747" t="str">
        <f t="shared" si="31"/>
        <v>GUARDIAN</v>
      </c>
    </row>
    <row r="1748" spans="5:8" x14ac:dyDescent="0.25">
      <c r="E1748" t="str">
        <f>""</f>
        <v/>
      </c>
      <c r="F1748" t="str">
        <f>""</f>
        <v/>
      </c>
      <c r="G1748" s="3">
        <v>23.65</v>
      </c>
      <c r="H1748" t="str">
        <f t="shared" si="31"/>
        <v>GUARDIAN</v>
      </c>
    </row>
    <row r="1749" spans="5:8" x14ac:dyDescent="0.25">
      <c r="E1749" t="str">
        <f>""</f>
        <v/>
      </c>
      <c r="F1749" t="str">
        <f>""</f>
        <v/>
      </c>
      <c r="G1749" s="3">
        <v>27.95</v>
      </c>
      <c r="H1749" t="str">
        <f t="shared" si="31"/>
        <v>GUARDIAN</v>
      </c>
    </row>
    <row r="1750" spans="5:8" x14ac:dyDescent="0.25">
      <c r="E1750" t="str">
        <f>""</f>
        <v/>
      </c>
      <c r="F1750" t="str">
        <f>""</f>
        <v/>
      </c>
      <c r="G1750" s="3">
        <v>51.63</v>
      </c>
      <c r="H1750" t="str">
        <f t="shared" si="31"/>
        <v>GUARDIAN</v>
      </c>
    </row>
    <row r="1751" spans="5:8" x14ac:dyDescent="0.25">
      <c r="E1751" t="str">
        <f>""</f>
        <v/>
      </c>
      <c r="F1751" t="str">
        <f>""</f>
        <v/>
      </c>
      <c r="G1751" s="3">
        <v>2.15</v>
      </c>
      <c r="H1751" t="str">
        <f t="shared" si="31"/>
        <v>GUARDIAN</v>
      </c>
    </row>
    <row r="1752" spans="5:8" x14ac:dyDescent="0.25">
      <c r="E1752" t="str">
        <f>""</f>
        <v/>
      </c>
      <c r="F1752" t="str">
        <f>""</f>
        <v/>
      </c>
      <c r="G1752" s="3">
        <v>2.15</v>
      </c>
      <c r="H1752" t="str">
        <f t="shared" si="31"/>
        <v>GUARDIAN</v>
      </c>
    </row>
    <row r="1753" spans="5:8" x14ac:dyDescent="0.25">
      <c r="E1753" t="str">
        <f>""</f>
        <v/>
      </c>
      <c r="F1753" t="str">
        <f>""</f>
        <v/>
      </c>
      <c r="G1753" s="3">
        <v>2.15</v>
      </c>
      <c r="H1753" t="str">
        <f t="shared" si="31"/>
        <v>GUARDIAN</v>
      </c>
    </row>
    <row r="1754" spans="5:8" x14ac:dyDescent="0.25">
      <c r="E1754" t="str">
        <f>""</f>
        <v/>
      </c>
      <c r="F1754" t="str">
        <f>""</f>
        <v/>
      </c>
      <c r="G1754" s="3">
        <v>181.68</v>
      </c>
      <c r="H1754" t="str">
        <f t="shared" si="31"/>
        <v>GUARDIAN</v>
      </c>
    </row>
    <row r="1755" spans="5:8" x14ac:dyDescent="0.25">
      <c r="E1755" t="str">
        <f>""</f>
        <v/>
      </c>
      <c r="F1755" t="str">
        <f>""</f>
        <v/>
      </c>
      <c r="G1755" s="3">
        <v>8.4700000000000006</v>
      </c>
      <c r="H1755" t="str">
        <f t="shared" si="31"/>
        <v>GUARDIAN</v>
      </c>
    </row>
    <row r="1756" spans="5:8" x14ac:dyDescent="0.25">
      <c r="E1756" t="str">
        <f>""</f>
        <v/>
      </c>
      <c r="F1756" t="str">
        <f>""</f>
        <v/>
      </c>
      <c r="G1756" s="3">
        <v>171.23</v>
      </c>
      <c r="H1756" t="str">
        <f t="shared" si="31"/>
        <v>GUARDIAN</v>
      </c>
    </row>
    <row r="1757" spans="5:8" x14ac:dyDescent="0.25">
      <c r="E1757" t="str">
        <f>""</f>
        <v/>
      </c>
      <c r="F1757" t="str">
        <f>""</f>
        <v/>
      </c>
      <c r="G1757" s="3">
        <v>36.549999999999997</v>
      </c>
      <c r="H1757" t="str">
        <f t="shared" si="31"/>
        <v>GUARDIAN</v>
      </c>
    </row>
    <row r="1758" spans="5:8" x14ac:dyDescent="0.25">
      <c r="E1758" t="str">
        <f>""</f>
        <v/>
      </c>
      <c r="F1758" t="str">
        <f>""</f>
        <v/>
      </c>
      <c r="G1758" s="3">
        <v>2.15</v>
      </c>
      <c r="H1758" t="str">
        <f t="shared" si="31"/>
        <v>GUARDIAN</v>
      </c>
    </row>
    <row r="1759" spans="5:8" x14ac:dyDescent="0.25">
      <c r="E1759" t="str">
        <f>""</f>
        <v/>
      </c>
      <c r="F1759" t="str">
        <f>""</f>
        <v/>
      </c>
      <c r="G1759" s="3">
        <v>6.45</v>
      </c>
      <c r="H1759" t="str">
        <f t="shared" si="31"/>
        <v>GUARDIAN</v>
      </c>
    </row>
    <row r="1760" spans="5:8" x14ac:dyDescent="0.25">
      <c r="E1760" t="str">
        <f>""</f>
        <v/>
      </c>
      <c r="F1760" t="str">
        <f>""</f>
        <v/>
      </c>
      <c r="G1760" s="3">
        <v>0.26</v>
      </c>
      <c r="H1760" t="str">
        <f t="shared" si="31"/>
        <v>GUARDIAN</v>
      </c>
    </row>
    <row r="1761" spans="5:8" x14ac:dyDescent="0.25">
      <c r="E1761" t="str">
        <f>""</f>
        <v/>
      </c>
      <c r="F1761" t="str">
        <f>""</f>
        <v/>
      </c>
      <c r="G1761" s="3">
        <v>6.45</v>
      </c>
      <c r="H1761" t="str">
        <f t="shared" si="31"/>
        <v>GUARDIAN</v>
      </c>
    </row>
    <row r="1762" spans="5:8" x14ac:dyDescent="0.25">
      <c r="E1762" t="str">
        <f>""</f>
        <v/>
      </c>
      <c r="F1762" t="str">
        <f>""</f>
        <v/>
      </c>
      <c r="G1762" s="3">
        <v>2.15</v>
      </c>
      <c r="H1762" t="str">
        <f t="shared" si="31"/>
        <v>GUARDIAN</v>
      </c>
    </row>
    <row r="1763" spans="5:8" x14ac:dyDescent="0.25">
      <c r="E1763" t="str">
        <f>""</f>
        <v/>
      </c>
      <c r="F1763" t="str">
        <f>""</f>
        <v/>
      </c>
      <c r="G1763" s="3">
        <v>6.45</v>
      </c>
      <c r="H1763" t="str">
        <f t="shared" si="31"/>
        <v>GUARDIAN</v>
      </c>
    </row>
    <row r="1764" spans="5:8" x14ac:dyDescent="0.25">
      <c r="E1764" t="str">
        <f>""</f>
        <v/>
      </c>
      <c r="F1764" t="str">
        <f>""</f>
        <v/>
      </c>
      <c r="G1764" s="3">
        <v>4.3</v>
      </c>
      <c r="H1764" t="str">
        <f t="shared" si="31"/>
        <v>GUARDIAN</v>
      </c>
    </row>
    <row r="1765" spans="5:8" x14ac:dyDescent="0.25">
      <c r="E1765" t="str">
        <f>""</f>
        <v/>
      </c>
      <c r="F1765" t="str">
        <f>""</f>
        <v/>
      </c>
      <c r="G1765" s="3">
        <v>2.39</v>
      </c>
      <c r="H1765" t="str">
        <f t="shared" si="31"/>
        <v>GUARDIAN</v>
      </c>
    </row>
    <row r="1766" spans="5:8" x14ac:dyDescent="0.25">
      <c r="E1766" t="str">
        <f>""</f>
        <v/>
      </c>
      <c r="F1766" t="str">
        <f>""</f>
        <v/>
      </c>
      <c r="G1766" s="3">
        <v>24.17</v>
      </c>
      <c r="H1766" t="str">
        <f t="shared" si="31"/>
        <v>GUARDIAN</v>
      </c>
    </row>
    <row r="1767" spans="5:8" x14ac:dyDescent="0.25">
      <c r="E1767" t="str">
        <f>""</f>
        <v/>
      </c>
      <c r="F1767" t="str">
        <f>""</f>
        <v/>
      </c>
      <c r="G1767" s="3">
        <v>29.71</v>
      </c>
      <c r="H1767" t="str">
        <f t="shared" si="31"/>
        <v>GUARDIAN</v>
      </c>
    </row>
    <row r="1768" spans="5:8" x14ac:dyDescent="0.25">
      <c r="E1768" t="str">
        <f>""</f>
        <v/>
      </c>
      <c r="F1768" t="str">
        <f>""</f>
        <v/>
      </c>
      <c r="G1768" s="3">
        <v>29.69</v>
      </c>
      <c r="H1768" t="str">
        <f t="shared" si="31"/>
        <v>GUARDIAN</v>
      </c>
    </row>
    <row r="1769" spans="5:8" x14ac:dyDescent="0.25">
      <c r="E1769" t="str">
        <f>""</f>
        <v/>
      </c>
      <c r="F1769" t="str">
        <f>""</f>
        <v/>
      </c>
      <c r="G1769" s="3">
        <v>26.34</v>
      </c>
      <c r="H1769" t="str">
        <f t="shared" si="31"/>
        <v>GUARDIAN</v>
      </c>
    </row>
    <row r="1770" spans="5:8" x14ac:dyDescent="0.25">
      <c r="E1770" t="str">
        <f>""</f>
        <v/>
      </c>
      <c r="F1770" t="str">
        <f>""</f>
        <v/>
      </c>
      <c r="G1770" s="3">
        <v>4.3</v>
      </c>
      <c r="H1770" t="str">
        <f t="shared" si="31"/>
        <v>GUARDIAN</v>
      </c>
    </row>
    <row r="1771" spans="5:8" x14ac:dyDescent="0.25">
      <c r="E1771" t="str">
        <f>""</f>
        <v/>
      </c>
      <c r="F1771" t="str">
        <f>""</f>
        <v/>
      </c>
      <c r="G1771" s="3">
        <v>1.89</v>
      </c>
      <c r="H1771" t="str">
        <f t="shared" si="31"/>
        <v>GUARDIAN</v>
      </c>
    </row>
    <row r="1772" spans="5:8" x14ac:dyDescent="0.25">
      <c r="E1772" t="str">
        <f>""</f>
        <v/>
      </c>
      <c r="F1772" t="str">
        <f>""</f>
        <v/>
      </c>
      <c r="G1772" s="3">
        <v>21.33</v>
      </c>
      <c r="H1772" t="str">
        <f t="shared" si="31"/>
        <v>GUARDIAN</v>
      </c>
    </row>
    <row r="1773" spans="5:8" x14ac:dyDescent="0.25">
      <c r="E1773" t="str">
        <f>""</f>
        <v/>
      </c>
      <c r="F1773" t="str">
        <f>""</f>
        <v/>
      </c>
      <c r="G1773" s="3">
        <v>0.77</v>
      </c>
      <c r="H1773" t="str">
        <f t="shared" si="31"/>
        <v>GUARDIAN</v>
      </c>
    </row>
    <row r="1774" spans="5:8" x14ac:dyDescent="0.25">
      <c r="E1774" t="str">
        <f>""</f>
        <v/>
      </c>
      <c r="F1774" t="str">
        <f>""</f>
        <v/>
      </c>
      <c r="G1774" s="3">
        <v>0.17</v>
      </c>
      <c r="H1774" t="str">
        <f t="shared" si="31"/>
        <v>GUARDIAN</v>
      </c>
    </row>
    <row r="1775" spans="5:8" x14ac:dyDescent="0.25">
      <c r="E1775" t="str">
        <f>""</f>
        <v/>
      </c>
      <c r="F1775" t="str">
        <f>""</f>
        <v/>
      </c>
      <c r="G1775" s="3">
        <v>0.3</v>
      </c>
      <c r="H1775" t="str">
        <f t="shared" si="31"/>
        <v>GUARDIAN</v>
      </c>
    </row>
    <row r="1776" spans="5:8" x14ac:dyDescent="0.25">
      <c r="E1776" t="str">
        <f>""</f>
        <v/>
      </c>
      <c r="F1776" t="str">
        <f>""</f>
        <v/>
      </c>
      <c r="G1776" s="3">
        <v>2.14</v>
      </c>
      <c r="H1776" t="str">
        <f t="shared" si="31"/>
        <v>GUARDIAN</v>
      </c>
    </row>
    <row r="1777" spans="5:8" x14ac:dyDescent="0.25">
      <c r="E1777" t="str">
        <f>""</f>
        <v/>
      </c>
      <c r="F1777" t="str">
        <f>""</f>
        <v/>
      </c>
      <c r="G1777" s="3">
        <v>2821.92</v>
      </c>
      <c r="H1777" t="str">
        <f t="shared" si="31"/>
        <v>GUARDIAN</v>
      </c>
    </row>
    <row r="1778" spans="5:8" x14ac:dyDescent="0.25">
      <c r="E1778" t="str">
        <f>"LIE202109295921"</f>
        <v>LIE202109295921</v>
      </c>
      <c r="F1778" t="str">
        <f>"GUARDIAN"</f>
        <v>GUARDIAN</v>
      </c>
      <c r="G1778" s="3">
        <v>30.1</v>
      </c>
      <c r="H1778" t="str">
        <f t="shared" si="31"/>
        <v>GUARDIAN</v>
      </c>
    </row>
    <row r="1779" spans="5:8" x14ac:dyDescent="0.25">
      <c r="E1779" t="str">
        <f>""</f>
        <v/>
      </c>
      <c r="F1779" t="str">
        <f>""</f>
        <v/>
      </c>
      <c r="G1779" s="3">
        <v>51</v>
      </c>
      <c r="H1779" t="str">
        <f t="shared" si="31"/>
        <v>GUARDIAN</v>
      </c>
    </row>
    <row r="1780" spans="5:8" x14ac:dyDescent="0.25">
      <c r="E1780" t="str">
        <f>"LIE202110136441"</f>
        <v>LIE202110136441</v>
      </c>
      <c r="F1780" t="str">
        <f>"GUARDIAN"</f>
        <v>GUARDIAN</v>
      </c>
      <c r="G1780" s="3">
        <v>4.3</v>
      </c>
      <c r="H1780" t="str">
        <f t="shared" si="31"/>
        <v>GUARDIAN</v>
      </c>
    </row>
    <row r="1781" spans="5:8" x14ac:dyDescent="0.25">
      <c r="E1781" t="str">
        <f>""</f>
        <v/>
      </c>
      <c r="F1781" t="str">
        <f>""</f>
        <v/>
      </c>
      <c r="G1781" s="3">
        <v>1.86</v>
      </c>
      <c r="H1781" t="str">
        <f t="shared" si="31"/>
        <v>GUARDIAN</v>
      </c>
    </row>
    <row r="1782" spans="5:8" x14ac:dyDescent="0.25">
      <c r="E1782" t="str">
        <f>""</f>
        <v/>
      </c>
      <c r="F1782" t="str">
        <f>""</f>
        <v/>
      </c>
      <c r="G1782" s="3">
        <v>16.940000000000001</v>
      </c>
      <c r="H1782" t="str">
        <f t="shared" si="31"/>
        <v>GUARDIAN</v>
      </c>
    </row>
    <row r="1783" spans="5:8" x14ac:dyDescent="0.25">
      <c r="E1783" t="str">
        <f>""</f>
        <v/>
      </c>
      <c r="F1783" t="str">
        <f>""</f>
        <v/>
      </c>
      <c r="G1783" s="3">
        <v>6.45</v>
      </c>
      <c r="H1783" t="str">
        <f t="shared" si="31"/>
        <v>GUARDIAN</v>
      </c>
    </row>
    <row r="1784" spans="5:8" x14ac:dyDescent="0.25">
      <c r="E1784" t="str">
        <f>""</f>
        <v/>
      </c>
      <c r="F1784" t="str">
        <f>""</f>
        <v/>
      </c>
      <c r="G1784" s="3">
        <v>4.3</v>
      </c>
      <c r="H1784" t="str">
        <f t="shared" si="31"/>
        <v>GUARDIAN</v>
      </c>
    </row>
    <row r="1785" spans="5:8" x14ac:dyDescent="0.25">
      <c r="E1785" t="str">
        <f>""</f>
        <v/>
      </c>
      <c r="F1785" t="str">
        <f>""</f>
        <v/>
      </c>
      <c r="G1785" s="3">
        <v>11.79</v>
      </c>
      <c r="H1785" t="str">
        <f t="shared" si="31"/>
        <v>GUARDIAN</v>
      </c>
    </row>
    <row r="1786" spans="5:8" x14ac:dyDescent="0.25">
      <c r="E1786" t="str">
        <f>""</f>
        <v/>
      </c>
      <c r="F1786" t="str">
        <f>""</f>
        <v/>
      </c>
      <c r="G1786" s="3">
        <v>45.15</v>
      </c>
      <c r="H1786" t="str">
        <f t="shared" si="31"/>
        <v>GUARDIAN</v>
      </c>
    </row>
    <row r="1787" spans="5:8" x14ac:dyDescent="0.25">
      <c r="E1787" t="str">
        <f>""</f>
        <v/>
      </c>
      <c r="F1787" t="str">
        <f>""</f>
        <v/>
      </c>
      <c r="G1787" s="3">
        <v>2.15</v>
      </c>
      <c r="H1787" t="str">
        <f t="shared" si="31"/>
        <v>GUARDIAN</v>
      </c>
    </row>
    <row r="1788" spans="5:8" x14ac:dyDescent="0.25">
      <c r="E1788" t="str">
        <f>""</f>
        <v/>
      </c>
      <c r="F1788" t="str">
        <f>""</f>
        <v/>
      </c>
      <c r="G1788" s="3">
        <v>6.13</v>
      </c>
      <c r="H1788" t="str">
        <f t="shared" si="31"/>
        <v>GUARDIAN</v>
      </c>
    </row>
    <row r="1789" spans="5:8" x14ac:dyDescent="0.25">
      <c r="E1789" t="str">
        <f>""</f>
        <v/>
      </c>
      <c r="F1789" t="str">
        <f>""</f>
        <v/>
      </c>
      <c r="G1789" s="3">
        <v>10.95</v>
      </c>
      <c r="H1789" t="str">
        <f t="shared" si="31"/>
        <v>GUARDIAN</v>
      </c>
    </row>
    <row r="1790" spans="5:8" x14ac:dyDescent="0.25">
      <c r="E1790" t="str">
        <f>""</f>
        <v/>
      </c>
      <c r="F1790" t="str">
        <f>""</f>
        <v/>
      </c>
      <c r="G1790" s="3">
        <v>23.65</v>
      </c>
      <c r="H1790" t="str">
        <f t="shared" si="31"/>
        <v>GUARDIAN</v>
      </c>
    </row>
    <row r="1791" spans="5:8" x14ac:dyDescent="0.25">
      <c r="E1791" t="str">
        <f>""</f>
        <v/>
      </c>
      <c r="F1791" t="str">
        <f>""</f>
        <v/>
      </c>
      <c r="G1791" s="3">
        <v>8.6</v>
      </c>
      <c r="H1791" t="str">
        <f t="shared" si="31"/>
        <v>GUARDIAN</v>
      </c>
    </row>
    <row r="1792" spans="5:8" x14ac:dyDescent="0.25">
      <c r="E1792" t="str">
        <f>""</f>
        <v/>
      </c>
      <c r="F1792" t="str">
        <f>""</f>
        <v/>
      </c>
      <c r="G1792" s="3">
        <v>8.6</v>
      </c>
      <c r="H1792" t="str">
        <f t="shared" si="31"/>
        <v>GUARDIAN</v>
      </c>
    </row>
    <row r="1793" spans="5:8" x14ac:dyDescent="0.25">
      <c r="E1793" t="str">
        <f>""</f>
        <v/>
      </c>
      <c r="F1793" t="str">
        <f>""</f>
        <v/>
      </c>
      <c r="G1793" s="3">
        <v>8.6</v>
      </c>
      <c r="H1793" t="str">
        <f t="shared" si="31"/>
        <v>GUARDIAN</v>
      </c>
    </row>
    <row r="1794" spans="5:8" x14ac:dyDescent="0.25">
      <c r="E1794" t="str">
        <f>""</f>
        <v/>
      </c>
      <c r="F1794" t="str">
        <f>""</f>
        <v/>
      </c>
      <c r="G1794" s="3">
        <v>6.45</v>
      </c>
      <c r="H1794" t="str">
        <f t="shared" si="31"/>
        <v>GUARDIAN</v>
      </c>
    </row>
    <row r="1795" spans="5:8" x14ac:dyDescent="0.25">
      <c r="E1795" t="str">
        <f>""</f>
        <v/>
      </c>
      <c r="F1795" t="str">
        <f>""</f>
        <v/>
      </c>
      <c r="G1795" s="3">
        <v>4.3</v>
      </c>
      <c r="H1795" t="str">
        <f t="shared" si="31"/>
        <v>GUARDIAN</v>
      </c>
    </row>
    <row r="1796" spans="5:8" x14ac:dyDescent="0.25">
      <c r="E1796" t="str">
        <f>""</f>
        <v/>
      </c>
      <c r="F1796" t="str">
        <f>""</f>
        <v/>
      </c>
      <c r="G1796" s="3">
        <v>31.99</v>
      </c>
      <c r="H1796" t="str">
        <f t="shared" si="31"/>
        <v>GUARDIAN</v>
      </c>
    </row>
    <row r="1797" spans="5:8" x14ac:dyDescent="0.25">
      <c r="E1797" t="str">
        <f>""</f>
        <v/>
      </c>
      <c r="F1797" t="str">
        <f>""</f>
        <v/>
      </c>
      <c r="G1797" s="3">
        <v>15.05</v>
      </c>
      <c r="H1797" t="str">
        <f t="shared" si="31"/>
        <v>GUARDIAN</v>
      </c>
    </row>
    <row r="1798" spans="5:8" x14ac:dyDescent="0.25">
      <c r="E1798" t="str">
        <f>""</f>
        <v/>
      </c>
      <c r="F1798" t="str">
        <f>""</f>
        <v/>
      </c>
      <c r="G1798" s="3">
        <v>8.6</v>
      </c>
      <c r="H1798" t="str">
        <f t="shared" si="31"/>
        <v>GUARDIAN</v>
      </c>
    </row>
    <row r="1799" spans="5:8" x14ac:dyDescent="0.25">
      <c r="E1799" t="str">
        <f>""</f>
        <v/>
      </c>
      <c r="F1799" t="str">
        <f>""</f>
        <v/>
      </c>
      <c r="G1799" s="3">
        <v>8.6</v>
      </c>
      <c r="H1799" t="str">
        <f t="shared" si="31"/>
        <v>GUARDIAN</v>
      </c>
    </row>
    <row r="1800" spans="5:8" x14ac:dyDescent="0.25">
      <c r="E1800" t="str">
        <f>""</f>
        <v/>
      </c>
      <c r="F1800" t="str">
        <f>""</f>
        <v/>
      </c>
      <c r="G1800" s="3">
        <v>27.95</v>
      </c>
      <c r="H1800" t="str">
        <f t="shared" si="31"/>
        <v>GUARDIAN</v>
      </c>
    </row>
    <row r="1801" spans="5:8" x14ac:dyDescent="0.25">
      <c r="E1801" t="str">
        <f>""</f>
        <v/>
      </c>
      <c r="F1801" t="str">
        <f>""</f>
        <v/>
      </c>
      <c r="G1801" s="3">
        <v>12.9</v>
      </c>
      <c r="H1801" t="str">
        <f t="shared" si="31"/>
        <v>GUARDIAN</v>
      </c>
    </row>
    <row r="1802" spans="5:8" x14ac:dyDescent="0.25">
      <c r="E1802" t="str">
        <f>""</f>
        <v/>
      </c>
      <c r="F1802" t="str">
        <f>""</f>
        <v/>
      </c>
      <c r="G1802" s="3">
        <v>23.65</v>
      </c>
      <c r="H1802" t="str">
        <f t="shared" ref="H1802:H1841" si="32">"GUARDIAN"</f>
        <v>GUARDIAN</v>
      </c>
    </row>
    <row r="1803" spans="5:8" x14ac:dyDescent="0.25">
      <c r="E1803" t="str">
        <f>""</f>
        <v/>
      </c>
      <c r="F1803" t="str">
        <f>""</f>
        <v/>
      </c>
      <c r="G1803" s="3">
        <v>27.95</v>
      </c>
      <c r="H1803" t="str">
        <f t="shared" si="32"/>
        <v>GUARDIAN</v>
      </c>
    </row>
    <row r="1804" spans="5:8" x14ac:dyDescent="0.25">
      <c r="E1804" t="str">
        <f>""</f>
        <v/>
      </c>
      <c r="F1804" t="str">
        <f>""</f>
        <v/>
      </c>
      <c r="G1804" s="3">
        <v>51.63</v>
      </c>
      <c r="H1804" t="str">
        <f t="shared" si="32"/>
        <v>GUARDIAN</v>
      </c>
    </row>
    <row r="1805" spans="5:8" x14ac:dyDescent="0.25">
      <c r="E1805" t="str">
        <f>""</f>
        <v/>
      </c>
      <c r="F1805" t="str">
        <f>""</f>
        <v/>
      </c>
      <c r="G1805" s="3">
        <v>2.15</v>
      </c>
      <c r="H1805" t="str">
        <f t="shared" si="32"/>
        <v>GUARDIAN</v>
      </c>
    </row>
    <row r="1806" spans="5:8" x14ac:dyDescent="0.25">
      <c r="E1806" t="str">
        <f>""</f>
        <v/>
      </c>
      <c r="F1806" t="str">
        <f>""</f>
        <v/>
      </c>
      <c r="G1806" s="3">
        <v>2.15</v>
      </c>
      <c r="H1806" t="str">
        <f t="shared" si="32"/>
        <v>GUARDIAN</v>
      </c>
    </row>
    <row r="1807" spans="5:8" x14ac:dyDescent="0.25">
      <c r="E1807" t="str">
        <f>""</f>
        <v/>
      </c>
      <c r="F1807" t="str">
        <f>""</f>
        <v/>
      </c>
      <c r="G1807" s="3">
        <v>2.15</v>
      </c>
      <c r="H1807" t="str">
        <f t="shared" si="32"/>
        <v>GUARDIAN</v>
      </c>
    </row>
    <row r="1808" spans="5:8" x14ac:dyDescent="0.25">
      <c r="E1808" t="str">
        <f>""</f>
        <v/>
      </c>
      <c r="F1808" t="str">
        <f>""</f>
        <v/>
      </c>
      <c r="G1808" s="3">
        <v>195.89</v>
      </c>
      <c r="H1808" t="str">
        <f t="shared" si="32"/>
        <v>GUARDIAN</v>
      </c>
    </row>
    <row r="1809" spans="5:8" x14ac:dyDescent="0.25">
      <c r="E1809" t="str">
        <f>""</f>
        <v/>
      </c>
      <c r="F1809" t="str">
        <f>""</f>
        <v/>
      </c>
      <c r="G1809" s="3">
        <v>8.48</v>
      </c>
      <c r="H1809" t="str">
        <f t="shared" si="32"/>
        <v>GUARDIAN</v>
      </c>
    </row>
    <row r="1810" spans="5:8" x14ac:dyDescent="0.25">
      <c r="E1810" t="str">
        <f>""</f>
        <v/>
      </c>
      <c r="F1810" t="str">
        <f>""</f>
        <v/>
      </c>
      <c r="G1810" s="3">
        <v>175.99</v>
      </c>
      <c r="H1810" t="str">
        <f t="shared" si="32"/>
        <v>GUARDIAN</v>
      </c>
    </row>
    <row r="1811" spans="5:8" x14ac:dyDescent="0.25">
      <c r="E1811" t="str">
        <f>""</f>
        <v/>
      </c>
      <c r="F1811" t="str">
        <f>""</f>
        <v/>
      </c>
      <c r="G1811" s="3">
        <v>36.549999999999997</v>
      </c>
      <c r="H1811" t="str">
        <f t="shared" si="32"/>
        <v>GUARDIAN</v>
      </c>
    </row>
    <row r="1812" spans="5:8" x14ac:dyDescent="0.25">
      <c r="E1812" t="str">
        <f>""</f>
        <v/>
      </c>
      <c r="F1812" t="str">
        <f>""</f>
        <v/>
      </c>
      <c r="G1812" s="3">
        <v>2.15</v>
      </c>
      <c r="H1812" t="str">
        <f t="shared" si="32"/>
        <v>GUARDIAN</v>
      </c>
    </row>
    <row r="1813" spans="5:8" x14ac:dyDescent="0.25">
      <c r="E1813" t="str">
        <f>""</f>
        <v/>
      </c>
      <c r="F1813" t="str">
        <f>""</f>
        <v/>
      </c>
      <c r="G1813" s="3">
        <v>6.45</v>
      </c>
      <c r="H1813" t="str">
        <f t="shared" si="32"/>
        <v>GUARDIAN</v>
      </c>
    </row>
    <row r="1814" spans="5:8" x14ac:dyDescent="0.25">
      <c r="E1814" t="str">
        <f>""</f>
        <v/>
      </c>
      <c r="F1814" t="str">
        <f>""</f>
        <v/>
      </c>
      <c r="G1814" s="3">
        <v>0.26</v>
      </c>
      <c r="H1814" t="str">
        <f t="shared" si="32"/>
        <v>GUARDIAN</v>
      </c>
    </row>
    <row r="1815" spans="5:8" x14ac:dyDescent="0.25">
      <c r="E1815" t="str">
        <f>""</f>
        <v/>
      </c>
      <c r="F1815" t="str">
        <f>""</f>
        <v/>
      </c>
      <c r="G1815" s="3">
        <v>6.45</v>
      </c>
      <c r="H1815" t="str">
        <f t="shared" si="32"/>
        <v>GUARDIAN</v>
      </c>
    </row>
    <row r="1816" spans="5:8" x14ac:dyDescent="0.25">
      <c r="E1816" t="str">
        <f>""</f>
        <v/>
      </c>
      <c r="F1816" t="str">
        <f>""</f>
        <v/>
      </c>
      <c r="G1816" s="3">
        <v>2.15</v>
      </c>
      <c r="H1816" t="str">
        <f t="shared" si="32"/>
        <v>GUARDIAN</v>
      </c>
    </row>
    <row r="1817" spans="5:8" x14ac:dyDescent="0.25">
      <c r="E1817" t="str">
        <f>""</f>
        <v/>
      </c>
      <c r="F1817" t="str">
        <f>""</f>
        <v/>
      </c>
      <c r="G1817" s="3">
        <v>10.75</v>
      </c>
      <c r="H1817" t="str">
        <f t="shared" si="32"/>
        <v>GUARDIAN</v>
      </c>
    </row>
    <row r="1818" spans="5:8" x14ac:dyDescent="0.25">
      <c r="E1818" t="str">
        <f>""</f>
        <v/>
      </c>
      <c r="F1818" t="str">
        <f>""</f>
        <v/>
      </c>
      <c r="G1818" s="3">
        <v>4.3</v>
      </c>
      <c r="H1818" t="str">
        <f t="shared" si="32"/>
        <v>GUARDIAN</v>
      </c>
    </row>
    <row r="1819" spans="5:8" x14ac:dyDescent="0.25">
      <c r="E1819" t="str">
        <f>""</f>
        <v/>
      </c>
      <c r="F1819" t="str">
        <f>""</f>
        <v/>
      </c>
      <c r="G1819" s="3">
        <v>2.41</v>
      </c>
      <c r="H1819" t="str">
        <f t="shared" si="32"/>
        <v>GUARDIAN</v>
      </c>
    </row>
    <row r="1820" spans="5:8" x14ac:dyDescent="0.25">
      <c r="E1820" t="str">
        <f>""</f>
        <v/>
      </c>
      <c r="F1820" t="str">
        <f>""</f>
        <v/>
      </c>
      <c r="G1820" s="3">
        <v>24.67</v>
      </c>
      <c r="H1820" t="str">
        <f t="shared" si="32"/>
        <v>GUARDIAN</v>
      </c>
    </row>
    <row r="1821" spans="5:8" x14ac:dyDescent="0.25">
      <c r="E1821" t="str">
        <f>""</f>
        <v/>
      </c>
      <c r="F1821" t="str">
        <f>""</f>
        <v/>
      </c>
      <c r="G1821" s="3">
        <v>29.7</v>
      </c>
      <c r="H1821" t="str">
        <f t="shared" si="32"/>
        <v>GUARDIAN</v>
      </c>
    </row>
    <row r="1822" spans="5:8" x14ac:dyDescent="0.25">
      <c r="E1822" t="str">
        <f>""</f>
        <v/>
      </c>
      <c r="F1822" t="str">
        <f>""</f>
        <v/>
      </c>
      <c r="G1822" s="3">
        <v>29.21</v>
      </c>
      <c r="H1822" t="str">
        <f t="shared" si="32"/>
        <v>GUARDIAN</v>
      </c>
    </row>
    <row r="1823" spans="5:8" x14ac:dyDescent="0.25">
      <c r="E1823" t="str">
        <f>""</f>
        <v/>
      </c>
      <c r="F1823" t="str">
        <f>""</f>
        <v/>
      </c>
      <c r="G1823" s="3">
        <v>27.44</v>
      </c>
      <c r="H1823" t="str">
        <f t="shared" si="32"/>
        <v>GUARDIAN</v>
      </c>
    </row>
    <row r="1824" spans="5:8" x14ac:dyDescent="0.25">
      <c r="E1824" t="str">
        <f>""</f>
        <v/>
      </c>
      <c r="F1824" t="str">
        <f>""</f>
        <v/>
      </c>
      <c r="G1824" s="3">
        <v>1.89</v>
      </c>
      <c r="H1824" t="str">
        <f t="shared" si="32"/>
        <v>GUARDIAN</v>
      </c>
    </row>
    <row r="1825" spans="1:8" x14ac:dyDescent="0.25">
      <c r="E1825" t="str">
        <f>""</f>
        <v/>
      </c>
      <c r="F1825" t="str">
        <f>""</f>
        <v/>
      </c>
      <c r="G1825" s="3">
        <v>0.09</v>
      </c>
      <c r="H1825" t="str">
        <f t="shared" si="32"/>
        <v>GUARDIAN</v>
      </c>
    </row>
    <row r="1826" spans="1:8" x14ac:dyDescent="0.25">
      <c r="E1826" t="str">
        <f>""</f>
        <v/>
      </c>
      <c r="F1826" t="str">
        <f>""</f>
        <v/>
      </c>
      <c r="G1826" s="3">
        <v>0.17</v>
      </c>
      <c r="H1826" t="str">
        <f t="shared" si="32"/>
        <v>GUARDIAN</v>
      </c>
    </row>
    <row r="1827" spans="1:8" x14ac:dyDescent="0.25">
      <c r="E1827" t="str">
        <f>""</f>
        <v/>
      </c>
      <c r="F1827" t="str">
        <f>""</f>
        <v/>
      </c>
      <c r="G1827" s="3">
        <v>0.32</v>
      </c>
      <c r="H1827" t="str">
        <f t="shared" si="32"/>
        <v>GUARDIAN</v>
      </c>
    </row>
    <row r="1828" spans="1:8" x14ac:dyDescent="0.25">
      <c r="E1828" t="str">
        <f>""</f>
        <v/>
      </c>
      <c r="F1828" t="str">
        <f>""</f>
        <v/>
      </c>
      <c r="G1828" s="3">
        <v>2.14</v>
      </c>
      <c r="H1828" t="str">
        <f t="shared" si="32"/>
        <v>GUARDIAN</v>
      </c>
    </row>
    <row r="1829" spans="1:8" x14ac:dyDescent="0.25">
      <c r="E1829" t="str">
        <f>""</f>
        <v/>
      </c>
      <c r="F1829" t="str">
        <f>""</f>
        <v/>
      </c>
      <c r="G1829" s="3">
        <v>2821.92</v>
      </c>
      <c r="H1829" t="str">
        <f t="shared" si="32"/>
        <v>GUARDIAN</v>
      </c>
    </row>
    <row r="1830" spans="1:8" x14ac:dyDescent="0.25">
      <c r="E1830" t="str">
        <f>"LIE202110136442"</f>
        <v>LIE202110136442</v>
      </c>
      <c r="F1830" t="str">
        <f>"GUARDIAN"</f>
        <v>GUARDIAN</v>
      </c>
      <c r="G1830" s="3">
        <v>30.1</v>
      </c>
      <c r="H1830" t="str">
        <f t="shared" si="32"/>
        <v>GUARDIAN</v>
      </c>
    </row>
    <row r="1831" spans="1:8" x14ac:dyDescent="0.25">
      <c r="E1831" t="str">
        <f>""</f>
        <v/>
      </c>
      <c r="F1831" t="str">
        <f>""</f>
        <v/>
      </c>
      <c r="G1831" s="3">
        <v>51</v>
      </c>
      <c r="H1831" t="str">
        <f t="shared" si="32"/>
        <v>GUARDIAN</v>
      </c>
    </row>
    <row r="1832" spans="1:8" x14ac:dyDescent="0.25">
      <c r="E1832" t="str">
        <f>"LIS202109295920"</f>
        <v>LIS202109295920</v>
      </c>
      <c r="F1832" t="str">
        <f t="shared" ref="F1832:F1841" si="33">"GUARDIAN"</f>
        <v>GUARDIAN</v>
      </c>
      <c r="G1832" s="3">
        <v>539.35</v>
      </c>
      <c r="H1832" t="str">
        <f t="shared" si="32"/>
        <v>GUARDIAN</v>
      </c>
    </row>
    <row r="1833" spans="1:8" x14ac:dyDescent="0.25">
      <c r="E1833" t="str">
        <f>"LIS202109295921"</f>
        <v>LIS202109295921</v>
      </c>
      <c r="F1833" t="str">
        <f t="shared" si="33"/>
        <v>GUARDIAN</v>
      </c>
      <c r="G1833" s="3">
        <v>36.75</v>
      </c>
      <c r="H1833" t="str">
        <f t="shared" si="32"/>
        <v>GUARDIAN</v>
      </c>
    </row>
    <row r="1834" spans="1:8" x14ac:dyDescent="0.25">
      <c r="E1834" t="str">
        <f>"LIS202110136441"</f>
        <v>LIS202110136441</v>
      </c>
      <c r="F1834" t="str">
        <f t="shared" si="33"/>
        <v>GUARDIAN</v>
      </c>
      <c r="G1834" s="3">
        <v>539.35</v>
      </c>
      <c r="H1834" t="str">
        <f t="shared" si="32"/>
        <v>GUARDIAN</v>
      </c>
    </row>
    <row r="1835" spans="1:8" x14ac:dyDescent="0.25">
      <c r="E1835" t="str">
        <f>"LIS202110136442"</f>
        <v>LIS202110136442</v>
      </c>
      <c r="F1835" t="str">
        <f t="shared" si="33"/>
        <v>GUARDIAN</v>
      </c>
      <c r="G1835" s="3">
        <v>36.75</v>
      </c>
      <c r="H1835" t="str">
        <f t="shared" si="32"/>
        <v>GUARDIAN</v>
      </c>
    </row>
    <row r="1836" spans="1:8" x14ac:dyDescent="0.25">
      <c r="E1836" t="str">
        <f>"LTD202109295920"</f>
        <v>LTD202109295920</v>
      </c>
      <c r="F1836" t="str">
        <f t="shared" si="33"/>
        <v>GUARDIAN</v>
      </c>
      <c r="G1836" s="3">
        <v>953.6</v>
      </c>
      <c r="H1836" t="str">
        <f t="shared" si="32"/>
        <v>GUARDIAN</v>
      </c>
    </row>
    <row r="1837" spans="1:8" x14ac:dyDescent="0.25">
      <c r="E1837" t="str">
        <f>"LTD202110136441"</f>
        <v>LTD202110136441</v>
      </c>
      <c r="F1837" t="str">
        <f t="shared" si="33"/>
        <v>GUARDIAN</v>
      </c>
      <c r="G1837" s="3">
        <v>953.61</v>
      </c>
      <c r="H1837" t="str">
        <f t="shared" si="32"/>
        <v>GUARDIAN</v>
      </c>
    </row>
    <row r="1838" spans="1:8" x14ac:dyDescent="0.25">
      <c r="A1838" t="s">
        <v>451</v>
      </c>
      <c r="B1838">
        <v>1405</v>
      </c>
      <c r="C1838" s="3">
        <v>97.24</v>
      </c>
      <c r="D1838" s="4">
        <v>44497</v>
      </c>
      <c r="E1838" t="str">
        <f>"AEG202109295920"</f>
        <v>AEG202109295920</v>
      </c>
      <c r="F1838" t="str">
        <f t="shared" si="33"/>
        <v>GUARDIAN</v>
      </c>
      <c r="G1838" s="3">
        <v>12.48</v>
      </c>
      <c r="H1838" t="str">
        <f t="shared" si="32"/>
        <v>GUARDIAN</v>
      </c>
    </row>
    <row r="1839" spans="1:8" x14ac:dyDescent="0.25">
      <c r="E1839" t="str">
        <f>"AEG202110136441"</f>
        <v>AEG202110136441</v>
      </c>
      <c r="F1839" t="str">
        <f t="shared" si="33"/>
        <v>GUARDIAN</v>
      </c>
      <c r="G1839" s="3">
        <v>12.48</v>
      </c>
      <c r="H1839" t="str">
        <f t="shared" si="32"/>
        <v>GUARDIAN</v>
      </c>
    </row>
    <row r="1840" spans="1:8" x14ac:dyDescent="0.25">
      <c r="E1840" t="str">
        <f>"AFG202109295920"</f>
        <v>AFG202109295920</v>
      </c>
      <c r="F1840" t="str">
        <f t="shared" si="33"/>
        <v>GUARDIAN</v>
      </c>
      <c r="G1840" s="3">
        <v>36.14</v>
      </c>
      <c r="H1840" t="str">
        <f t="shared" si="32"/>
        <v>GUARDIAN</v>
      </c>
    </row>
    <row r="1841" spans="1:8" x14ac:dyDescent="0.25">
      <c r="E1841" t="str">
        <f>"AFG202110136441"</f>
        <v>AFG202110136441</v>
      </c>
      <c r="F1841" t="str">
        <f t="shared" si="33"/>
        <v>GUARDIAN</v>
      </c>
      <c r="G1841" s="3">
        <v>36.14</v>
      </c>
      <c r="H1841" t="str">
        <f t="shared" si="32"/>
        <v>GUARDIAN</v>
      </c>
    </row>
    <row r="1842" spans="1:8" x14ac:dyDescent="0.25">
      <c r="A1842" t="s">
        <v>452</v>
      </c>
      <c r="B1842">
        <v>1396</v>
      </c>
      <c r="C1842" s="3">
        <v>390</v>
      </c>
      <c r="D1842" s="4">
        <v>44498</v>
      </c>
      <c r="E1842" t="str">
        <f>"C97202110276652"</f>
        <v>C97202110276652</v>
      </c>
      <c r="F1842" t="str">
        <f>"0008314890"</f>
        <v>0008314890</v>
      </c>
      <c r="G1842" s="3">
        <v>390</v>
      </c>
      <c r="H1842" t="str">
        <f>"0008314890"</f>
        <v>0008314890</v>
      </c>
    </row>
    <row r="1843" spans="1:8" x14ac:dyDescent="0.25">
      <c r="A1843" t="s">
        <v>453</v>
      </c>
      <c r="B1843">
        <v>1344</v>
      </c>
      <c r="C1843" s="3">
        <v>250546.75</v>
      </c>
      <c r="D1843" s="4">
        <v>44470</v>
      </c>
      <c r="E1843" t="str">
        <f>"T1 202109295920"</f>
        <v>T1 202109295920</v>
      </c>
      <c r="F1843" t="str">
        <f>"FEDERAL WITHHOLDING"</f>
        <v>FEDERAL WITHHOLDING</v>
      </c>
      <c r="G1843" s="3">
        <v>83580.899999999994</v>
      </c>
      <c r="H1843" t="str">
        <f>"FEDERAL WITHHOLDING"</f>
        <v>FEDERAL WITHHOLDING</v>
      </c>
    </row>
    <row r="1844" spans="1:8" x14ac:dyDescent="0.25">
      <c r="E1844" t="str">
        <f>"T1 202109295921"</f>
        <v>T1 202109295921</v>
      </c>
      <c r="F1844" t="str">
        <f>"FEDERAL WITHHOLDING"</f>
        <v>FEDERAL WITHHOLDING</v>
      </c>
      <c r="G1844" s="3">
        <v>2844.74</v>
      </c>
      <c r="H1844" t="str">
        <f>"FEDERAL WITHHOLDING"</f>
        <v>FEDERAL WITHHOLDING</v>
      </c>
    </row>
    <row r="1845" spans="1:8" x14ac:dyDescent="0.25">
      <c r="E1845" t="str">
        <f>"T1 202109295922"</f>
        <v>T1 202109295922</v>
      </c>
      <c r="F1845" t="str">
        <f>"FEDERAL WITHHOLDING"</f>
        <v>FEDERAL WITHHOLDING</v>
      </c>
      <c r="G1845" s="3">
        <v>3368.41</v>
      </c>
      <c r="H1845" t="str">
        <f>"FEDERAL WITHHOLDING"</f>
        <v>FEDERAL WITHHOLDING</v>
      </c>
    </row>
    <row r="1846" spans="1:8" x14ac:dyDescent="0.25">
      <c r="E1846" t="str">
        <f>"T3 202109295920"</f>
        <v>T3 202109295920</v>
      </c>
      <c r="F1846" t="str">
        <f>"SOCIAL SECURITY TAXES"</f>
        <v>SOCIAL SECURITY TAXES</v>
      </c>
      <c r="G1846" s="3">
        <v>516.53</v>
      </c>
      <c r="H1846" t="str">
        <f t="shared" ref="H1846:H1903" si="34">"SOCIAL SECURITY TAXES"</f>
        <v>SOCIAL SECURITY TAXES</v>
      </c>
    </row>
    <row r="1847" spans="1:8" x14ac:dyDescent="0.25">
      <c r="E1847" t="str">
        <f>""</f>
        <v/>
      </c>
      <c r="F1847" t="str">
        <f>""</f>
        <v/>
      </c>
      <c r="G1847" s="3">
        <v>374.27</v>
      </c>
      <c r="H1847" t="str">
        <f t="shared" si="34"/>
        <v>SOCIAL SECURITY TAXES</v>
      </c>
    </row>
    <row r="1848" spans="1:8" x14ac:dyDescent="0.25">
      <c r="E1848" t="str">
        <f>""</f>
        <v/>
      </c>
      <c r="F1848" t="str">
        <f>""</f>
        <v/>
      </c>
      <c r="G1848" s="3">
        <v>954.75</v>
      </c>
      <c r="H1848" t="str">
        <f t="shared" si="34"/>
        <v>SOCIAL SECURITY TAXES</v>
      </c>
    </row>
    <row r="1849" spans="1:8" x14ac:dyDescent="0.25">
      <c r="E1849" t="str">
        <f>""</f>
        <v/>
      </c>
      <c r="F1849" t="str">
        <f>""</f>
        <v/>
      </c>
      <c r="G1849" s="3">
        <v>400.73</v>
      </c>
      <c r="H1849" t="str">
        <f t="shared" si="34"/>
        <v>SOCIAL SECURITY TAXES</v>
      </c>
    </row>
    <row r="1850" spans="1:8" x14ac:dyDescent="0.25">
      <c r="E1850" t="str">
        <f>""</f>
        <v/>
      </c>
      <c r="F1850" t="str">
        <f>""</f>
        <v/>
      </c>
      <c r="G1850" s="3">
        <v>179.27</v>
      </c>
      <c r="H1850" t="str">
        <f t="shared" si="34"/>
        <v>SOCIAL SECURITY TAXES</v>
      </c>
    </row>
    <row r="1851" spans="1:8" x14ac:dyDescent="0.25">
      <c r="E1851" t="str">
        <f>""</f>
        <v/>
      </c>
      <c r="F1851" t="str">
        <f>""</f>
        <v/>
      </c>
      <c r="G1851" s="3">
        <v>794.15</v>
      </c>
      <c r="H1851" t="str">
        <f t="shared" si="34"/>
        <v>SOCIAL SECURITY TAXES</v>
      </c>
    </row>
    <row r="1852" spans="1:8" x14ac:dyDescent="0.25">
      <c r="E1852" t="str">
        <f>""</f>
        <v/>
      </c>
      <c r="F1852" t="str">
        <f>""</f>
        <v/>
      </c>
      <c r="G1852" s="3">
        <v>2702.03</v>
      </c>
      <c r="H1852" t="str">
        <f t="shared" si="34"/>
        <v>SOCIAL SECURITY TAXES</v>
      </c>
    </row>
    <row r="1853" spans="1:8" x14ac:dyDescent="0.25">
      <c r="E1853" t="str">
        <f>""</f>
        <v/>
      </c>
      <c r="F1853" t="str">
        <f>""</f>
        <v/>
      </c>
      <c r="G1853" s="3">
        <v>88.19</v>
      </c>
      <c r="H1853" t="str">
        <f t="shared" si="34"/>
        <v>SOCIAL SECURITY TAXES</v>
      </c>
    </row>
    <row r="1854" spans="1:8" x14ac:dyDescent="0.25">
      <c r="E1854" t="str">
        <f>""</f>
        <v/>
      </c>
      <c r="F1854" t="str">
        <f>""</f>
        <v/>
      </c>
      <c r="G1854" s="3">
        <v>819.47</v>
      </c>
      <c r="H1854" t="str">
        <f t="shared" si="34"/>
        <v>SOCIAL SECURITY TAXES</v>
      </c>
    </row>
    <row r="1855" spans="1:8" x14ac:dyDescent="0.25">
      <c r="E1855" t="str">
        <f>""</f>
        <v/>
      </c>
      <c r="F1855" t="str">
        <f>""</f>
        <v/>
      </c>
      <c r="G1855" s="3">
        <v>903.48</v>
      </c>
      <c r="H1855" t="str">
        <f t="shared" si="34"/>
        <v>SOCIAL SECURITY TAXES</v>
      </c>
    </row>
    <row r="1856" spans="1:8" x14ac:dyDescent="0.25">
      <c r="E1856" t="str">
        <f>""</f>
        <v/>
      </c>
      <c r="F1856" t="str">
        <f>""</f>
        <v/>
      </c>
      <c r="G1856" s="3">
        <v>1443.51</v>
      </c>
      <c r="H1856" t="str">
        <f t="shared" si="34"/>
        <v>SOCIAL SECURITY TAXES</v>
      </c>
    </row>
    <row r="1857" spans="5:8" x14ac:dyDescent="0.25">
      <c r="E1857" t="str">
        <f>""</f>
        <v/>
      </c>
      <c r="F1857" t="str">
        <f>""</f>
        <v/>
      </c>
      <c r="G1857" s="3">
        <v>441.95</v>
      </c>
      <c r="H1857" t="str">
        <f t="shared" si="34"/>
        <v>SOCIAL SECURITY TAXES</v>
      </c>
    </row>
    <row r="1858" spans="5:8" x14ac:dyDescent="0.25">
      <c r="E1858" t="str">
        <f>""</f>
        <v/>
      </c>
      <c r="F1858" t="str">
        <f>""</f>
        <v/>
      </c>
      <c r="G1858" s="3">
        <v>357.9</v>
      </c>
      <c r="H1858" t="str">
        <f t="shared" si="34"/>
        <v>SOCIAL SECURITY TAXES</v>
      </c>
    </row>
    <row r="1859" spans="5:8" x14ac:dyDescent="0.25">
      <c r="E1859" t="str">
        <f>""</f>
        <v/>
      </c>
      <c r="F1859" t="str">
        <f>""</f>
        <v/>
      </c>
      <c r="G1859" s="3">
        <v>367.25</v>
      </c>
      <c r="H1859" t="str">
        <f t="shared" si="34"/>
        <v>SOCIAL SECURITY TAXES</v>
      </c>
    </row>
    <row r="1860" spans="5:8" x14ac:dyDescent="0.25">
      <c r="E1860" t="str">
        <f>""</f>
        <v/>
      </c>
      <c r="F1860" t="str">
        <f>""</f>
        <v/>
      </c>
      <c r="G1860" s="3">
        <v>396.92</v>
      </c>
      <c r="H1860" t="str">
        <f t="shared" si="34"/>
        <v>SOCIAL SECURITY TAXES</v>
      </c>
    </row>
    <row r="1861" spans="5:8" x14ac:dyDescent="0.25">
      <c r="E1861" t="str">
        <f>""</f>
        <v/>
      </c>
      <c r="F1861" t="str">
        <f>""</f>
        <v/>
      </c>
      <c r="G1861" s="3">
        <v>218.87</v>
      </c>
      <c r="H1861" t="str">
        <f t="shared" si="34"/>
        <v>SOCIAL SECURITY TAXES</v>
      </c>
    </row>
    <row r="1862" spans="5:8" x14ac:dyDescent="0.25">
      <c r="E1862" t="str">
        <f>""</f>
        <v/>
      </c>
      <c r="F1862" t="str">
        <f>""</f>
        <v/>
      </c>
      <c r="G1862" s="3">
        <v>2594.04</v>
      </c>
      <c r="H1862" t="str">
        <f t="shared" si="34"/>
        <v>SOCIAL SECURITY TAXES</v>
      </c>
    </row>
    <row r="1863" spans="5:8" x14ac:dyDescent="0.25">
      <c r="E1863" t="str">
        <f>""</f>
        <v/>
      </c>
      <c r="F1863" t="str">
        <f>""</f>
        <v/>
      </c>
      <c r="G1863" s="3">
        <v>1001.5</v>
      </c>
      <c r="H1863" t="str">
        <f t="shared" si="34"/>
        <v>SOCIAL SECURITY TAXES</v>
      </c>
    </row>
    <row r="1864" spans="5:8" x14ac:dyDescent="0.25">
      <c r="E1864" t="str">
        <f>""</f>
        <v/>
      </c>
      <c r="F1864" t="str">
        <f>""</f>
        <v/>
      </c>
      <c r="G1864" s="3">
        <v>481.48</v>
      </c>
      <c r="H1864" t="str">
        <f t="shared" si="34"/>
        <v>SOCIAL SECURITY TAXES</v>
      </c>
    </row>
    <row r="1865" spans="5:8" x14ac:dyDescent="0.25">
      <c r="E1865" t="str">
        <f>""</f>
        <v/>
      </c>
      <c r="F1865" t="str">
        <f>""</f>
        <v/>
      </c>
      <c r="G1865" s="3">
        <v>468.65</v>
      </c>
      <c r="H1865" t="str">
        <f t="shared" si="34"/>
        <v>SOCIAL SECURITY TAXES</v>
      </c>
    </row>
    <row r="1866" spans="5:8" x14ac:dyDescent="0.25">
      <c r="E1866" t="str">
        <f>""</f>
        <v/>
      </c>
      <c r="F1866" t="str">
        <f>""</f>
        <v/>
      </c>
      <c r="G1866" s="3">
        <v>1301.47</v>
      </c>
      <c r="H1866" t="str">
        <f t="shared" si="34"/>
        <v>SOCIAL SECURITY TAXES</v>
      </c>
    </row>
    <row r="1867" spans="5:8" x14ac:dyDescent="0.25">
      <c r="E1867" t="str">
        <f>""</f>
        <v/>
      </c>
      <c r="F1867" t="str">
        <f>""</f>
        <v/>
      </c>
      <c r="G1867" s="3">
        <v>709.17</v>
      </c>
      <c r="H1867" t="str">
        <f t="shared" si="34"/>
        <v>SOCIAL SECURITY TAXES</v>
      </c>
    </row>
    <row r="1868" spans="5:8" x14ac:dyDescent="0.25">
      <c r="E1868" t="str">
        <f>""</f>
        <v/>
      </c>
      <c r="F1868" t="str">
        <f>""</f>
        <v/>
      </c>
      <c r="G1868" s="3">
        <v>1740.87</v>
      </c>
      <c r="H1868" t="str">
        <f t="shared" si="34"/>
        <v>SOCIAL SECURITY TAXES</v>
      </c>
    </row>
    <row r="1869" spans="5:8" x14ac:dyDescent="0.25">
      <c r="E1869" t="str">
        <f>""</f>
        <v/>
      </c>
      <c r="F1869" t="str">
        <f>""</f>
        <v/>
      </c>
      <c r="G1869" s="3">
        <v>1255.08</v>
      </c>
      <c r="H1869" t="str">
        <f t="shared" si="34"/>
        <v>SOCIAL SECURITY TAXES</v>
      </c>
    </row>
    <row r="1870" spans="5:8" x14ac:dyDescent="0.25">
      <c r="E1870" t="str">
        <f>""</f>
        <v/>
      </c>
      <c r="F1870" t="str">
        <f>""</f>
        <v/>
      </c>
      <c r="G1870" s="3">
        <v>2437</v>
      </c>
      <c r="H1870" t="str">
        <f t="shared" si="34"/>
        <v>SOCIAL SECURITY TAXES</v>
      </c>
    </row>
    <row r="1871" spans="5:8" x14ac:dyDescent="0.25">
      <c r="E1871" t="str">
        <f>""</f>
        <v/>
      </c>
      <c r="F1871" t="str">
        <f>""</f>
        <v/>
      </c>
      <c r="G1871" s="3">
        <v>120</v>
      </c>
      <c r="H1871" t="str">
        <f t="shared" si="34"/>
        <v>SOCIAL SECURITY TAXES</v>
      </c>
    </row>
    <row r="1872" spans="5:8" x14ac:dyDescent="0.25">
      <c r="E1872" t="str">
        <f>""</f>
        <v/>
      </c>
      <c r="F1872" t="str">
        <f>""</f>
        <v/>
      </c>
      <c r="G1872" s="3">
        <v>133.51</v>
      </c>
      <c r="H1872" t="str">
        <f t="shared" si="34"/>
        <v>SOCIAL SECURITY TAXES</v>
      </c>
    </row>
    <row r="1873" spans="5:8" x14ac:dyDescent="0.25">
      <c r="E1873" t="str">
        <f>""</f>
        <v/>
      </c>
      <c r="F1873" t="str">
        <f>""</f>
        <v/>
      </c>
      <c r="G1873" s="3">
        <v>126.55</v>
      </c>
      <c r="H1873" t="str">
        <f t="shared" si="34"/>
        <v>SOCIAL SECURITY TAXES</v>
      </c>
    </row>
    <row r="1874" spans="5:8" x14ac:dyDescent="0.25">
      <c r="E1874" t="str">
        <f>""</f>
        <v/>
      </c>
      <c r="F1874" t="str">
        <f>""</f>
        <v/>
      </c>
      <c r="G1874" s="3">
        <v>122.61</v>
      </c>
      <c r="H1874" t="str">
        <f t="shared" si="34"/>
        <v>SOCIAL SECURITY TAXES</v>
      </c>
    </row>
    <row r="1875" spans="5:8" x14ac:dyDescent="0.25">
      <c r="E1875" t="str">
        <f>""</f>
        <v/>
      </c>
      <c r="F1875" t="str">
        <f>""</f>
        <v/>
      </c>
      <c r="G1875" s="3">
        <v>13473.72</v>
      </c>
      <c r="H1875" t="str">
        <f t="shared" si="34"/>
        <v>SOCIAL SECURITY TAXES</v>
      </c>
    </row>
    <row r="1876" spans="5:8" x14ac:dyDescent="0.25">
      <c r="E1876" t="str">
        <f>""</f>
        <v/>
      </c>
      <c r="F1876" t="str">
        <f>""</f>
        <v/>
      </c>
      <c r="G1876" s="3">
        <v>594.57000000000005</v>
      </c>
      <c r="H1876" t="str">
        <f t="shared" si="34"/>
        <v>SOCIAL SECURITY TAXES</v>
      </c>
    </row>
    <row r="1877" spans="5:8" x14ac:dyDescent="0.25">
      <c r="E1877" t="str">
        <f>""</f>
        <v/>
      </c>
      <c r="F1877" t="str">
        <f>""</f>
        <v/>
      </c>
      <c r="G1877" s="3">
        <v>10233.89</v>
      </c>
      <c r="H1877" t="str">
        <f t="shared" si="34"/>
        <v>SOCIAL SECURITY TAXES</v>
      </c>
    </row>
    <row r="1878" spans="5:8" x14ac:dyDescent="0.25">
      <c r="E1878" t="str">
        <f>""</f>
        <v/>
      </c>
      <c r="F1878" t="str">
        <f>""</f>
        <v/>
      </c>
      <c r="G1878" s="3">
        <v>1600.27</v>
      </c>
      <c r="H1878" t="str">
        <f t="shared" si="34"/>
        <v>SOCIAL SECURITY TAXES</v>
      </c>
    </row>
    <row r="1879" spans="5:8" x14ac:dyDescent="0.25">
      <c r="E1879" t="str">
        <f>""</f>
        <v/>
      </c>
      <c r="F1879" t="str">
        <f>""</f>
        <v/>
      </c>
      <c r="G1879" s="3">
        <v>119.01</v>
      </c>
      <c r="H1879" t="str">
        <f t="shared" si="34"/>
        <v>SOCIAL SECURITY TAXES</v>
      </c>
    </row>
    <row r="1880" spans="5:8" x14ac:dyDescent="0.25">
      <c r="E1880" t="str">
        <f>""</f>
        <v/>
      </c>
      <c r="F1880" t="str">
        <f>""</f>
        <v/>
      </c>
      <c r="G1880" s="3">
        <v>332.27</v>
      </c>
      <c r="H1880" t="str">
        <f t="shared" si="34"/>
        <v>SOCIAL SECURITY TAXES</v>
      </c>
    </row>
    <row r="1881" spans="5:8" x14ac:dyDescent="0.25">
      <c r="E1881" t="str">
        <f>""</f>
        <v/>
      </c>
      <c r="F1881" t="str">
        <f>""</f>
        <v/>
      </c>
      <c r="G1881" s="3">
        <v>33.75</v>
      </c>
      <c r="H1881" t="str">
        <f t="shared" si="34"/>
        <v>SOCIAL SECURITY TAXES</v>
      </c>
    </row>
    <row r="1882" spans="5:8" x14ac:dyDescent="0.25">
      <c r="E1882" t="str">
        <f>""</f>
        <v/>
      </c>
      <c r="F1882" t="str">
        <f>""</f>
        <v/>
      </c>
      <c r="G1882" s="3">
        <v>310.18</v>
      </c>
      <c r="H1882" t="str">
        <f t="shared" si="34"/>
        <v>SOCIAL SECURITY TAXES</v>
      </c>
    </row>
    <row r="1883" spans="5:8" x14ac:dyDescent="0.25">
      <c r="E1883" t="str">
        <f>""</f>
        <v/>
      </c>
      <c r="F1883" t="str">
        <f>""</f>
        <v/>
      </c>
      <c r="G1883" s="3">
        <v>115.71</v>
      </c>
      <c r="H1883" t="str">
        <f t="shared" si="34"/>
        <v>SOCIAL SECURITY TAXES</v>
      </c>
    </row>
    <row r="1884" spans="5:8" x14ac:dyDescent="0.25">
      <c r="E1884" t="str">
        <f>""</f>
        <v/>
      </c>
      <c r="F1884" t="str">
        <f>""</f>
        <v/>
      </c>
      <c r="G1884" s="3">
        <v>347.98</v>
      </c>
      <c r="H1884" t="str">
        <f t="shared" si="34"/>
        <v>SOCIAL SECURITY TAXES</v>
      </c>
    </row>
    <row r="1885" spans="5:8" x14ac:dyDescent="0.25">
      <c r="E1885" t="str">
        <f>""</f>
        <v/>
      </c>
      <c r="F1885" t="str">
        <f>""</f>
        <v/>
      </c>
      <c r="G1885" s="3">
        <v>292.98</v>
      </c>
      <c r="H1885" t="str">
        <f t="shared" si="34"/>
        <v>SOCIAL SECURITY TAXES</v>
      </c>
    </row>
    <row r="1886" spans="5:8" x14ac:dyDescent="0.25">
      <c r="E1886" t="str">
        <f>""</f>
        <v/>
      </c>
      <c r="F1886" t="str">
        <f>""</f>
        <v/>
      </c>
      <c r="G1886" s="3">
        <v>107.88</v>
      </c>
      <c r="H1886" t="str">
        <f t="shared" si="34"/>
        <v>SOCIAL SECURITY TAXES</v>
      </c>
    </row>
    <row r="1887" spans="5:8" x14ac:dyDescent="0.25">
      <c r="E1887" t="str">
        <f>""</f>
        <v/>
      </c>
      <c r="F1887" t="str">
        <f>""</f>
        <v/>
      </c>
      <c r="G1887" s="3">
        <v>1595.26</v>
      </c>
      <c r="H1887" t="str">
        <f t="shared" si="34"/>
        <v>SOCIAL SECURITY TAXES</v>
      </c>
    </row>
    <row r="1888" spans="5:8" x14ac:dyDescent="0.25">
      <c r="E1888" t="str">
        <f>""</f>
        <v/>
      </c>
      <c r="F1888" t="str">
        <f>""</f>
        <v/>
      </c>
      <c r="G1888" s="3">
        <v>1715.92</v>
      </c>
      <c r="H1888" t="str">
        <f t="shared" si="34"/>
        <v>SOCIAL SECURITY TAXES</v>
      </c>
    </row>
    <row r="1889" spans="5:8" x14ac:dyDescent="0.25">
      <c r="E1889" t="str">
        <f>""</f>
        <v/>
      </c>
      <c r="F1889" t="str">
        <f>""</f>
        <v/>
      </c>
      <c r="G1889" s="3">
        <v>1738.93</v>
      </c>
      <c r="H1889" t="str">
        <f t="shared" si="34"/>
        <v>SOCIAL SECURITY TAXES</v>
      </c>
    </row>
    <row r="1890" spans="5:8" x14ac:dyDescent="0.25">
      <c r="E1890" t="str">
        <f>""</f>
        <v/>
      </c>
      <c r="F1890" t="str">
        <f>""</f>
        <v/>
      </c>
      <c r="G1890" s="3">
        <v>2119.69</v>
      </c>
      <c r="H1890" t="str">
        <f t="shared" si="34"/>
        <v>SOCIAL SECURITY TAXES</v>
      </c>
    </row>
    <row r="1891" spans="5:8" x14ac:dyDescent="0.25">
      <c r="E1891" t="str">
        <f>""</f>
        <v/>
      </c>
      <c r="F1891" t="str">
        <f>""</f>
        <v/>
      </c>
      <c r="G1891" s="3">
        <v>205.09</v>
      </c>
      <c r="H1891" t="str">
        <f t="shared" si="34"/>
        <v>SOCIAL SECURITY TAXES</v>
      </c>
    </row>
    <row r="1892" spans="5:8" x14ac:dyDescent="0.25">
      <c r="E1892" t="str">
        <f>""</f>
        <v/>
      </c>
      <c r="F1892" t="str">
        <f>""</f>
        <v/>
      </c>
      <c r="G1892" s="3">
        <v>226.8</v>
      </c>
      <c r="H1892" t="str">
        <f t="shared" si="34"/>
        <v>SOCIAL SECURITY TAXES</v>
      </c>
    </row>
    <row r="1893" spans="5:8" x14ac:dyDescent="0.25">
      <c r="E1893" t="str">
        <f>""</f>
        <v/>
      </c>
      <c r="F1893" t="str">
        <f>""</f>
        <v/>
      </c>
      <c r="G1893" s="3">
        <v>1676.1</v>
      </c>
      <c r="H1893" t="str">
        <f t="shared" si="34"/>
        <v>SOCIAL SECURITY TAXES</v>
      </c>
    </row>
    <row r="1894" spans="5:8" x14ac:dyDescent="0.25">
      <c r="E1894" t="str">
        <f>""</f>
        <v/>
      </c>
      <c r="F1894" t="str">
        <f>""</f>
        <v/>
      </c>
      <c r="G1894" s="3">
        <v>14.46</v>
      </c>
      <c r="H1894" t="str">
        <f t="shared" si="34"/>
        <v>SOCIAL SECURITY TAXES</v>
      </c>
    </row>
    <row r="1895" spans="5:8" x14ac:dyDescent="0.25">
      <c r="E1895" t="str">
        <f>""</f>
        <v/>
      </c>
      <c r="F1895" t="str">
        <f>""</f>
        <v/>
      </c>
      <c r="G1895" s="3">
        <v>27.71</v>
      </c>
      <c r="H1895" t="str">
        <f t="shared" si="34"/>
        <v>SOCIAL SECURITY TAXES</v>
      </c>
    </row>
    <row r="1896" spans="5:8" x14ac:dyDescent="0.25">
      <c r="E1896" t="str">
        <f>""</f>
        <v/>
      </c>
      <c r="F1896" t="str">
        <f>""</f>
        <v/>
      </c>
      <c r="G1896" s="3">
        <v>15</v>
      </c>
      <c r="H1896" t="str">
        <f t="shared" si="34"/>
        <v>SOCIAL SECURITY TAXES</v>
      </c>
    </row>
    <row r="1897" spans="5:8" x14ac:dyDescent="0.25">
      <c r="E1897" t="str">
        <f>""</f>
        <v/>
      </c>
      <c r="F1897" t="str">
        <f>""</f>
        <v/>
      </c>
      <c r="G1897" s="3">
        <v>20.07</v>
      </c>
      <c r="H1897" t="str">
        <f t="shared" si="34"/>
        <v>SOCIAL SECURITY TAXES</v>
      </c>
    </row>
    <row r="1898" spans="5:8" x14ac:dyDescent="0.25">
      <c r="E1898" t="str">
        <f>""</f>
        <v/>
      </c>
      <c r="F1898" t="str">
        <f>""</f>
        <v/>
      </c>
      <c r="G1898" s="3">
        <v>370.13</v>
      </c>
      <c r="H1898" t="str">
        <f t="shared" si="34"/>
        <v>SOCIAL SECURITY TAXES</v>
      </c>
    </row>
    <row r="1899" spans="5:8" x14ac:dyDescent="0.25">
      <c r="E1899" t="str">
        <f>""</f>
        <v/>
      </c>
      <c r="F1899" t="str">
        <f>""</f>
        <v/>
      </c>
      <c r="G1899" s="3">
        <v>60738.57</v>
      </c>
      <c r="H1899" t="str">
        <f t="shared" si="34"/>
        <v>SOCIAL SECURITY TAXES</v>
      </c>
    </row>
    <row r="1900" spans="5:8" x14ac:dyDescent="0.25">
      <c r="E1900" t="str">
        <f>"T3 202109295921"</f>
        <v>T3 202109295921</v>
      </c>
      <c r="F1900" t="str">
        <f>"SOCIAL SECURITY TAXES"</f>
        <v>SOCIAL SECURITY TAXES</v>
      </c>
      <c r="G1900" s="3">
        <v>2004.34</v>
      </c>
      <c r="H1900" t="str">
        <f t="shared" si="34"/>
        <v>SOCIAL SECURITY TAXES</v>
      </c>
    </row>
    <row r="1901" spans="5:8" x14ac:dyDescent="0.25">
      <c r="E1901" t="str">
        <f>""</f>
        <v/>
      </c>
      <c r="F1901" t="str">
        <f>""</f>
        <v/>
      </c>
      <c r="G1901" s="3">
        <v>2004.34</v>
      </c>
      <c r="H1901" t="str">
        <f t="shared" si="34"/>
        <v>SOCIAL SECURITY TAXES</v>
      </c>
    </row>
    <row r="1902" spans="5:8" x14ac:dyDescent="0.25">
      <c r="E1902" t="str">
        <f>"T3 202109295922"</f>
        <v>T3 202109295922</v>
      </c>
      <c r="F1902" t="str">
        <f>"SOCIAL SECURITY TAXES"</f>
        <v>SOCIAL SECURITY TAXES</v>
      </c>
      <c r="G1902" s="3">
        <v>2398.79</v>
      </c>
      <c r="H1902" t="str">
        <f t="shared" si="34"/>
        <v>SOCIAL SECURITY TAXES</v>
      </c>
    </row>
    <row r="1903" spans="5:8" x14ac:dyDescent="0.25">
      <c r="E1903" t="str">
        <f>""</f>
        <v/>
      </c>
      <c r="F1903" t="str">
        <f>""</f>
        <v/>
      </c>
      <c r="G1903" s="3">
        <v>2398.79</v>
      </c>
      <c r="H1903" t="str">
        <f t="shared" si="34"/>
        <v>SOCIAL SECURITY TAXES</v>
      </c>
    </row>
    <row r="1904" spans="5:8" x14ac:dyDescent="0.25">
      <c r="E1904" t="str">
        <f>"T4 202109295920"</f>
        <v>T4 202109295920</v>
      </c>
      <c r="F1904" t="str">
        <f>"MEDICARE TAXES"</f>
        <v>MEDICARE TAXES</v>
      </c>
      <c r="G1904" s="3">
        <v>120.8</v>
      </c>
      <c r="H1904" t="str">
        <f t="shared" ref="H1904:H1961" si="35">"MEDICARE TAXES"</f>
        <v>MEDICARE TAXES</v>
      </c>
    </row>
    <row r="1905" spans="5:8" x14ac:dyDescent="0.25">
      <c r="E1905" t="str">
        <f>""</f>
        <v/>
      </c>
      <c r="F1905" t="str">
        <f>""</f>
        <v/>
      </c>
      <c r="G1905" s="3">
        <v>87.53</v>
      </c>
      <c r="H1905" t="str">
        <f t="shared" si="35"/>
        <v>MEDICARE TAXES</v>
      </c>
    </row>
    <row r="1906" spans="5:8" x14ac:dyDescent="0.25">
      <c r="E1906" t="str">
        <f>""</f>
        <v/>
      </c>
      <c r="F1906" t="str">
        <f>""</f>
        <v/>
      </c>
      <c r="G1906" s="3">
        <v>223.3</v>
      </c>
      <c r="H1906" t="str">
        <f t="shared" si="35"/>
        <v>MEDICARE TAXES</v>
      </c>
    </row>
    <row r="1907" spans="5:8" x14ac:dyDescent="0.25">
      <c r="E1907" t="str">
        <f>""</f>
        <v/>
      </c>
      <c r="F1907" t="str">
        <f>""</f>
        <v/>
      </c>
      <c r="G1907" s="3">
        <v>93.72</v>
      </c>
      <c r="H1907" t="str">
        <f t="shared" si="35"/>
        <v>MEDICARE TAXES</v>
      </c>
    </row>
    <row r="1908" spans="5:8" x14ac:dyDescent="0.25">
      <c r="E1908" t="str">
        <f>""</f>
        <v/>
      </c>
      <c r="F1908" t="str">
        <f>""</f>
        <v/>
      </c>
      <c r="G1908" s="3">
        <v>41.93</v>
      </c>
      <c r="H1908" t="str">
        <f t="shared" si="35"/>
        <v>MEDICARE TAXES</v>
      </c>
    </row>
    <row r="1909" spans="5:8" x14ac:dyDescent="0.25">
      <c r="E1909" t="str">
        <f>""</f>
        <v/>
      </c>
      <c r="F1909" t="str">
        <f>""</f>
        <v/>
      </c>
      <c r="G1909" s="3">
        <v>185.73</v>
      </c>
      <c r="H1909" t="str">
        <f t="shared" si="35"/>
        <v>MEDICARE TAXES</v>
      </c>
    </row>
    <row r="1910" spans="5:8" x14ac:dyDescent="0.25">
      <c r="E1910" t="str">
        <f>""</f>
        <v/>
      </c>
      <c r="F1910" t="str">
        <f>""</f>
        <v/>
      </c>
      <c r="G1910" s="3">
        <v>631.91999999999996</v>
      </c>
      <c r="H1910" t="str">
        <f t="shared" si="35"/>
        <v>MEDICARE TAXES</v>
      </c>
    </row>
    <row r="1911" spans="5:8" x14ac:dyDescent="0.25">
      <c r="E1911" t="str">
        <f>""</f>
        <v/>
      </c>
      <c r="F1911" t="str">
        <f>""</f>
        <v/>
      </c>
      <c r="G1911" s="3">
        <v>20.63</v>
      </c>
      <c r="H1911" t="str">
        <f t="shared" si="35"/>
        <v>MEDICARE TAXES</v>
      </c>
    </row>
    <row r="1912" spans="5:8" x14ac:dyDescent="0.25">
      <c r="E1912" t="str">
        <f>""</f>
        <v/>
      </c>
      <c r="F1912" t="str">
        <f>""</f>
        <v/>
      </c>
      <c r="G1912" s="3">
        <v>191.65</v>
      </c>
      <c r="H1912" t="str">
        <f t="shared" si="35"/>
        <v>MEDICARE TAXES</v>
      </c>
    </row>
    <row r="1913" spans="5:8" x14ac:dyDescent="0.25">
      <c r="E1913" t="str">
        <f>""</f>
        <v/>
      </c>
      <c r="F1913" t="str">
        <f>""</f>
        <v/>
      </c>
      <c r="G1913" s="3">
        <v>211.31</v>
      </c>
      <c r="H1913" t="str">
        <f t="shared" si="35"/>
        <v>MEDICARE TAXES</v>
      </c>
    </row>
    <row r="1914" spans="5:8" x14ac:dyDescent="0.25">
      <c r="E1914" t="str">
        <f>""</f>
        <v/>
      </c>
      <c r="F1914" t="str">
        <f>""</f>
        <v/>
      </c>
      <c r="G1914" s="3">
        <v>337.59</v>
      </c>
      <c r="H1914" t="str">
        <f t="shared" si="35"/>
        <v>MEDICARE TAXES</v>
      </c>
    </row>
    <row r="1915" spans="5:8" x14ac:dyDescent="0.25">
      <c r="E1915" t="str">
        <f>""</f>
        <v/>
      </c>
      <c r="F1915" t="str">
        <f>""</f>
        <v/>
      </c>
      <c r="G1915" s="3">
        <v>103.35</v>
      </c>
      <c r="H1915" t="str">
        <f t="shared" si="35"/>
        <v>MEDICARE TAXES</v>
      </c>
    </row>
    <row r="1916" spans="5:8" x14ac:dyDescent="0.25">
      <c r="E1916" t="str">
        <f>""</f>
        <v/>
      </c>
      <c r="F1916" t="str">
        <f>""</f>
        <v/>
      </c>
      <c r="G1916" s="3">
        <v>83.7</v>
      </c>
      <c r="H1916" t="str">
        <f t="shared" si="35"/>
        <v>MEDICARE TAXES</v>
      </c>
    </row>
    <row r="1917" spans="5:8" x14ac:dyDescent="0.25">
      <c r="E1917" t="str">
        <f>""</f>
        <v/>
      </c>
      <c r="F1917" t="str">
        <f>""</f>
        <v/>
      </c>
      <c r="G1917" s="3">
        <v>85.89</v>
      </c>
      <c r="H1917" t="str">
        <f t="shared" si="35"/>
        <v>MEDICARE TAXES</v>
      </c>
    </row>
    <row r="1918" spans="5:8" x14ac:dyDescent="0.25">
      <c r="E1918" t="str">
        <f>""</f>
        <v/>
      </c>
      <c r="F1918" t="str">
        <f>""</f>
        <v/>
      </c>
      <c r="G1918" s="3">
        <v>92.82</v>
      </c>
      <c r="H1918" t="str">
        <f t="shared" si="35"/>
        <v>MEDICARE TAXES</v>
      </c>
    </row>
    <row r="1919" spans="5:8" x14ac:dyDescent="0.25">
      <c r="E1919" t="str">
        <f>""</f>
        <v/>
      </c>
      <c r="F1919" t="str">
        <f>""</f>
        <v/>
      </c>
      <c r="G1919" s="3">
        <v>51.19</v>
      </c>
      <c r="H1919" t="str">
        <f t="shared" si="35"/>
        <v>MEDICARE TAXES</v>
      </c>
    </row>
    <row r="1920" spans="5:8" x14ac:dyDescent="0.25">
      <c r="E1920" t="str">
        <f>""</f>
        <v/>
      </c>
      <c r="F1920" t="str">
        <f>""</f>
        <v/>
      </c>
      <c r="G1920" s="3">
        <v>606.66</v>
      </c>
      <c r="H1920" t="str">
        <f t="shared" si="35"/>
        <v>MEDICARE TAXES</v>
      </c>
    </row>
    <row r="1921" spans="5:8" x14ac:dyDescent="0.25">
      <c r="E1921" t="str">
        <f>""</f>
        <v/>
      </c>
      <c r="F1921" t="str">
        <f>""</f>
        <v/>
      </c>
      <c r="G1921" s="3">
        <v>234.22</v>
      </c>
      <c r="H1921" t="str">
        <f t="shared" si="35"/>
        <v>MEDICARE TAXES</v>
      </c>
    </row>
    <row r="1922" spans="5:8" x14ac:dyDescent="0.25">
      <c r="E1922" t="str">
        <f>""</f>
        <v/>
      </c>
      <c r="F1922" t="str">
        <f>""</f>
        <v/>
      </c>
      <c r="G1922" s="3">
        <v>112.61</v>
      </c>
      <c r="H1922" t="str">
        <f t="shared" si="35"/>
        <v>MEDICARE TAXES</v>
      </c>
    </row>
    <row r="1923" spans="5:8" x14ac:dyDescent="0.25">
      <c r="E1923" t="str">
        <f>""</f>
        <v/>
      </c>
      <c r="F1923" t="str">
        <f>""</f>
        <v/>
      </c>
      <c r="G1923" s="3">
        <v>109.6</v>
      </c>
      <c r="H1923" t="str">
        <f t="shared" si="35"/>
        <v>MEDICARE TAXES</v>
      </c>
    </row>
    <row r="1924" spans="5:8" x14ac:dyDescent="0.25">
      <c r="E1924" t="str">
        <f>""</f>
        <v/>
      </c>
      <c r="F1924" t="str">
        <f>""</f>
        <v/>
      </c>
      <c r="G1924" s="3">
        <v>304.39</v>
      </c>
      <c r="H1924" t="str">
        <f t="shared" si="35"/>
        <v>MEDICARE TAXES</v>
      </c>
    </row>
    <row r="1925" spans="5:8" x14ac:dyDescent="0.25">
      <c r="E1925" t="str">
        <f>""</f>
        <v/>
      </c>
      <c r="F1925" t="str">
        <f>""</f>
        <v/>
      </c>
      <c r="G1925" s="3">
        <v>165.86</v>
      </c>
      <c r="H1925" t="str">
        <f t="shared" si="35"/>
        <v>MEDICARE TAXES</v>
      </c>
    </row>
    <row r="1926" spans="5:8" x14ac:dyDescent="0.25">
      <c r="E1926" t="str">
        <f>""</f>
        <v/>
      </c>
      <c r="F1926" t="str">
        <f>""</f>
        <v/>
      </c>
      <c r="G1926" s="3">
        <v>407.15</v>
      </c>
      <c r="H1926" t="str">
        <f t="shared" si="35"/>
        <v>MEDICARE TAXES</v>
      </c>
    </row>
    <row r="1927" spans="5:8" x14ac:dyDescent="0.25">
      <c r="E1927" t="str">
        <f>""</f>
        <v/>
      </c>
      <c r="F1927" t="str">
        <f>""</f>
        <v/>
      </c>
      <c r="G1927" s="3">
        <v>293.52</v>
      </c>
      <c r="H1927" t="str">
        <f t="shared" si="35"/>
        <v>MEDICARE TAXES</v>
      </c>
    </row>
    <row r="1928" spans="5:8" x14ac:dyDescent="0.25">
      <c r="E1928" t="str">
        <f>""</f>
        <v/>
      </c>
      <c r="F1928" t="str">
        <f>""</f>
        <v/>
      </c>
      <c r="G1928" s="3">
        <v>569.94000000000005</v>
      </c>
      <c r="H1928" t="str">
        <f t="shared" si="35"/>
        <v>MEDICARE TAXES</v>
      </c>
    </row>
    <row r="1929" spans="5:8" x14ac:dyDescent="0.25">
      <c r="E1929" t="str">
        <f>""</f>
        <v/>
      </c>
      <c r="F1929" t="str">
        <f>""</f>
        <v/>
      </c>
      <c r="G1929" s="3">
        <v>28.06</v>
      </c>
      <c r="H1929" t="str">
        <f t="shared" si="35"/>
        <v>MEDICARE TAXES</v>
      </c>
    </row>
    <row r="1930" spans="5:8" x14ac:dyDescent="0.25">
      <c r="E1930" t="str">
        <f>""</f>
        <v/>
      </c>
      <c r="F1930" t="str">
        <f>""</f>
        <v/>
      </c>
      <c r="G1930" s="3">
        <v>31.23</v>
      </c>
      <c r="H1930" t="str">
        <f t="shared" si="35"/>
        <v>MEDICARE TAXES</v>
      </c>
    </row>
    <row r="1931" spans="5:8" x14ac:dyDescent="0.25">
      <c r="E1931" t="str">
        <f>""</f>
        <v/>
      </c>
      <c r="F1931" t="str">
        <f>""</f>
        <v/>
      </c>
      <c r="G1931" s="3">
        <v>29.6</v>
      </c>
      <c r="H1931" t="str">
        <f t="shared" si="35"/>
        <v>MEDICARE TAXES</v>
      </c>
    </row>
    <row r="1932" spans="5:8" x14ac:dyDescent="0.25">
      <c r="E1932" t="str">
        <f>""</f>
        <v/>
      </c>
      <c r="F1932" t="str">
        <f>""</f>
        <v/>
      </c>
      <c r="G1932" s="3">
        <v>28.68</v>
      </c>
      <c r="H1932" t="str">
        <f t="shared" si="35"/>
        <v>MEDICARE TAXES</v>
      </c>
    </row>
    <row r="1933" spans="5:8" x14ac:dyDescent="0.25">
      <c r="E1933" t="str">
        <f>""</f>
        <v/>
      </c>
      <c r="F1933" t="str">
        <f>""</f>
        <v/>
      </c>
      <c r="G1933" s="3">
        <v>3150.93</v>
      </c>
      <c r="H1933" t="str">
        <f t="shared" si="35"/>
        <v>MEDICARE TAXES</v>
      </c>
    </row>
    <row r="1934" spans="5:8" x14ac:dyDescent="0.25">
      <c r="E1934" t="str">
        <f>""</f>
        <v/>
      </c>
      <c r="F1934" t="str">
        <f>""</f>
        <v/>
      </c>
      <c r="G1934" s="3">
        <v>139.05000000000001</v>
      </c>
      <c r="H1934" t="str">
        <f t="shared" si="35"/>
        <v>MEDICARE TAXES</v>
      </c>
    </row>
    <row r="1935" spans="5:8" x14ac:dyDescent="0.25">
      <c r="E1935" t="str">
        <f>""</f>
        <v/>
      </c>
      <c r="F1935" t="str">
        <f>""</f>
        <v/>
      </c>
      <c r="G1935" s="3">
        <v>2393.42</v>
      </c>
      <c r="H1935" t="str">
        <f t="shared" si="35"/>
        <v>MEDICARE TAXES</v>
      </c>
    </row>
    <row r="1936" spans="5:8" x14ac:dyDescent="0.25">
      <c r="E1936" t="str">
        <f>""</f>
        <v/>
      </c>
      <c r="F1936" t="str">
        <f>""</f>
        <v/>
      </c>
      <c r="G1936" s="3">
        <v>374.26</v>
      </c>
      <c r="H1936" t="str">
        <f t="shared" si="35"/>
        <v>MEDICARE TAXES</v>
      </c>
    </row>
    <row r="1937" spans="5:8" x14ac:dyDescent="0.25">
      <c r="E1937" t="str">
        <f>""</f>
        <v/>
      </c>
      <c r="F1937" t="str">
        <f>""</f>
        <v/>
      </c>
      <c r="G1937" s="3">
        <v>27.83</v>
      </c>
      <c r="H1937" t="str">
        <f t="shared" si="35"/>
        <v>MEDICARE TAXES</v>
      </c>
    </row>
    <row r="1938" spans="5:8" x14ac:dyDescent="0.25">
      <c r="E1938" t="str">
        <f>""</f>
        <v/>
      </c>
      <c r="F1938" t="str">
        <f>""</f>
        <v/>
      </c>
      <c r="G1938" s="3">
        <v>77.709999999999994</v>
      </c>
      <c r="H1938" t="str">
        <f t="shared" si="35"/>
        <v>MEDICARE TAXES</v>
      </c>
    </row>
    <row r="1939" spans="5:8" x14ac:dyDescent="0.25">
      <c r="E1939" t="str">
        <f>""</f>
        <v/>
      </c>
      <c r="F1939" t="str">
        <f>""</f>
        <v/>
      </c>
      <c r="G1939" s="3">
        <v>7.9</v>
      </c>
      <c r="H1939" t="str">
        <f t="shared" si="35"/>
        <v>MEDICARE TAXES</v>
      </c>
    </row>
    <row r="1940" spans="5:8" x14ac:dyDescent="0.25">
      <c r="E1940" t="str">
        <f>""</f>
        <v/>
      </c>
      <c r="F1940" t="str">
        <f>""</f>
        <v/>
      </c>
      <c r="G1940" s="3">
        <v>72.540000000000006</v>
      </c>
      <c r="H1940" t="str">
        <f t="shared" si="35"/>
        <v>MEDICARE TAXES</v>
      </c>
    </row>
    <row r="1941" spans="5:8" x14ac:dyDescent="0.25">
      <c r="E1941" t="str">
        <f>""</f>
        <v/>
      </c>
      <c r="F1941" t="str">
        <f>""</f>
        <v/>
      </c>
      <c r="G1941" s="3">
        <v>27.06</v>
      </c>
      <c r="H1941" t="str">
        <f t="shared" si="35"/>
        <v>MEDICARE TAXES</v>
      </c>
    </row>
    <row r="1942" spans="5:8" x14ac:dyDescent="0.25">
      <c r="E1942" t="str">
        <f>""</f>
        <v/>
      </c>
      <c r="F1942" t="str">
        <f>""</f>
        <v/>
      </c>
      <c r="G1942" s="3">
        <v>81.38</v>
      </c>
      <c r="H1942" t="str">
        <f t="shared" si="35"/>
        <v>MEDICARE TAXES</v>
      </c>
    </row>
    <row r="1943" spans="5:8" x14ac:dyDescent="0.25">
      <c r="E1943" t="str">
        <f>""</f>
        <v/>
      </c>
      <c r="F1943" t="str">
        <f>""</f>
        <v/>
      </c>
      <c r="G1943" s="3">
        <v>68.52</v>
      </c>
      <c r="H1943" t="str">
        <f t="shared" si="35"/>
        <v>MEDICARE TAXES</v>
      </c>
    </row>
    <row r="1944" spans="5:8" x14ac:dyDescent="0.25">
      <c r="E1944" t="str">
        <f>""</f>
        <v/>
      </c>
      <c r="F1944" t="str">
        <f>""</f>
        <v/>
      </c>
      <c r="G1944" s="3">
        <v>25.22</v>
      </c>
      <c r="H1944" t="str">
        <f t="shared" si="35"/>
        <v>MEDICARE TAXES</v>
      </c>
    </row>
    <row r="1945" spans="5:8" x14ac:dyDescent="0.25">
      <c r="E1945" t="str">
        <f>""</f>
        <v/>
      </c>
      <c r="F1945" t="str">
        <f>""</f>
        <v/>
      </c>
      <c r="G1945" s="3">
        <v>373.09</v>
      </c>
      <c r="H1945" t="str">
        <f t="shared" si="35"/>
        <v>MEDICARE TAXES</v>
      </c>
    </row>
    <row r="1946" spans="5:8" x14ac:dyDescent="0.25">
      <c r="E1946" t="str">
        <f>""</f>
        <v/>
      </c>
      <c r="F1946" t="str">
        <f>""</f>
        <v/>
      </c>
      <c r="G1946" s="3">
        <v>401.31</v>
      </c>
      <c r="H1946" t="str">
        <f t="shared" si="35"/>
        <v>MEDICARE TAXES</v>
      </c>
    </row>
    <row r="1947" spans="5:8" x14ac:dyDescent="0.25">
      <c r="E1947" t="str">
        <f>""</f>
        <v/>
      </c>
      <c r="F1947" t="str">
        <f>""</f>
        <v/>
      </c>
      <c r="G1947" s="3">
        <v>406.66</v>
      </c>
      <c r="H1947" t="str">
        <f t="shared" si="35"/>
        <v>MEDICARE TAXES</v>
      </c>
    </row>
    <row r="1948" spans="5:8" x14ac:dyDescent="0.25">
      <c r="E1948" t="str">
        <f>""</f>
        <v/>
      </c>
      <c r="F1948" t="str">
        <f>""</f>
        <v/>
      </c>
      <c r="G1948" s="3">
        <v>495.73</v>
      </c>
      <c r="H1948" t="str">
        <f t="shared" si="35"/>
        <v>MEDICARE TAXES</v>
      </c>
    </row>
    <row r="1949" spans="5:8" x14ac:dyDescent="0.25">
      <c r="E1949" t="str">
        <f>""</f>
        <v/>
      </c>
      <c r="F1949" t="str">
        <f>""</f>
        <v/>
      </c>
      <c r="G1949" s="3">
        <v>47.97</v>
      </c>
      <c r="H1949" t="str">
        <f t="shared" si="35"/>
        <v>MEDICARE TAXES</v>
      </c>
    </row>
    <row r="1950" spans="5:8" x14ac:dyDescent="0.25">
      <c r="E1950" t="str">
        <f>""</f>
        <v/>
      </c>
      <c r="F1950" t="str">
        <f>""</f>
        <v/>
      </c>
      <c r="G1950" s="3">
        <v>53.03</v>
      </c>
      <c r="H1950" t="str">
        <f t="shared" si="35"/>
        <v>MEDICARE TAXES</v>
      </c>
    </row>
    <row r="1951" spans="5:8" x14ac:dyDescent="0.25">
      <c r="E1951" t="str">
        <f>""</f>
        <v/>
      </c>
      <c r="F1951" t="str">
        <f>""</f>
        <v/>
      </c>
      <c r="G1951" s="3">
        <v>392.09</v>
      </c>
      <c r="H1951" t="str">
        <f t="shared" si="35"/>
        <v>MEDICARE TAXES</v>
      </c>
    </row>
    <row r="1952" spans="5:8" x14ac:dyDescent="0.25">
      <c r="E1952" t="str">
        <f>""</f>
        <v/>
      </c>
      <c r="F1952" t="str">
        <f>""</f>
        <v/>
      </c>
      <c r="G1952" s="3">
        <v>3.38</v>
      </c>
      <c r="H1952" t="str">
        <f t="shared" si="35"/>
        <v>MEDICARE TAXES</v>
      </c>
    </row>
    <row r="1953" spans="1:8" x14ac:dyDescent="0.25">
      <c r="E1953" t="str">
        <f>""</f>
        <v/>
      </c>
      <c r="F1953" t="str">
        <f>""</f>
        <v/>
      </c>
      <c r="G1953" s="3">
        <v>6.48</v>
      </c>
      <c r="H1953" t="str">
        <f t="shared" si="35"/>
        <v>MEDICARE TAXES</v>
      </c>
    </row>
    <row r="1954" spans="1:8" x14ac:dyDescent="0.25">
      <c r="E1954" t="str">
        <f>""</f>
        <v/>
      </c>
      <c r="F1954" t="str">
        <f>""</f>
        <v/>
      </c>
      <c r="G1954" s="3">
        <v>3.51</v>
      </c>
      <c r="H1954" t="str">
        <f t="shared" si="35"/>
        <v>MEDICARE TAXES</v>
      </c>
    </row>
    <row r="1955" spans="1:8" x14ac:dyDescent="0.25">
      <c r="E1955" t="str">
        <f>""</f>
        <v/>
      </c>
      <c r="F1955" t="str">
        <f>""</f>
        <v/>
      </c>
      <c r="G1955" s="3">
        <v>4.6900000000000004</v>
      </c>
      <c r="H1955" t="str">
        <f t="shared" si="35"/>
        <v>MEDICARE TAXES</v>
      </c>
    </row>
    <row r="1956" spans="1:8" x14ac:dyDescent="0.25">
      <c r="E1956" t="str">
        <f>""</f>
        <v/>
      </c>
      <c r="F1956" t="str">
        <f>""</f>
        <v/>
      </c>
      <c r="G1956" s="3">
        <v>86.57</v>
      </c>
      <c r="H1956" t="str">
        <f t="shared" si="35"/>
        <v>MEDICARE TAXES</v>
      </c>
    </row>
    <row r="1957" spans="1:8" x14ac:dyDescent="0.25">
      <c r="E1957" t="str">
        <f>""</f>
        <v/>
      </c>
      <c r="F1957" t="str">
        <f>""</f>
        <v/>
      </c>
      <c r="G1957" s="3">
        <v>14204.91</v>
      </c>
      <c r="H1957" t="str">
        <f t="shared" si="35"/>
        <v>MEDICARE TAXES</v>
      </c>
    </row>
    <row r="1958" spans="1:8" x14ac:dyDescent="0.25">
      <c r="E1958" t="str">
        <f>"T4 202109295921"</f>
        <v>T4 202109295921</v>
      </c>
      <c r="F1958" t="str">
        <f>"MEDICARE TAXES"</f>
        <v>MEDICARE TAXES</v>
      </c>
      <c r="G1958" s="3">
        <v>468.75</v>
      </c>
      <c r="H1958" t="str">
        <f t="shared" si="35"/>
        <v>MEDICARE TAXES</v>
      </c>
    </row>
    <row r="1959" spans="1:8" x14ac:dyDescent="0.25">
      <c r="E1959" t="str">
        <f>""</f>
        <v/>
      </c>
      <c r="F1959" t="str">
        <f>""</f>
        <v/>
      </c>
      <c r="G1959" s="3">
        <v>468.75</v>
      </c>
      <c r="H1959" t="str">
        <f t="shared" si="35"/>
        <v>MEDICARE TAXES</v>
      </c>
    </row>
    <row r="1960" spans="1:8" x14ac:dyDescent="0.25">
      <c r="E1960" t="str">
        <f>"T4 202109295922"</f>
        <v>T4 202109295922</v>
      </c>
      <c r="F1960" t="str">
        <f>"MEDICARE TAXES"</f>
        <v>MEDICARE TAXES</v>
      </c>
      <c r="G1960" s="3">
        <v>560.99</v>
      </c>
      <c r="H1960" t="str">
        <f t="shared" si="35"/>
        <v>MEDICARE TAXES</v>
      </c>
    </row>
    <row r="1961" spans="1:8" x14ac:dyDescent="0.25">
      <c r="E1961" t="str">
        <f>""</f>
        <v/>
      </c>
      <c r="F1961" t="str">
        <f>""</f>
        <v/>
      </c>
      <c r="G1961" s="3">
        <v>560.99</v>
      </c>
      <c r="H1961" t="str">
        <f t="shared" si="35"/>
        <v>MEDICARE TAXES</v>
      </c>
    </row>
    <row r="1962" spans="1:8" x14ac:dyDescent="0.25">
      <c r="A1962" t="s">
        <v>453</v>
      </c>
      <c r="B1962">
        <v>1352</v>
      </c>
      <c r="C1962" s="3">
        <v>245798.63</v>
      </c>
      <c r="D1962" s="4">
        <v>44484</v>
      </c>
      <c r="E1962" t="str">
        <f>"T1 202110136441"</f>
        <v>T1 202110136441</v>
      </c>
      <c r="F1962" t="str">
        <f>"FEDERAL WITHHOLDING"</f>
        <v>FEDERAL WITHHOLDING</v>
      </c>
      <c r="G1962" s="3">
        <v>81375.210000000006</v>
      </c>
      <c r="H1962" t="str">
        <f>"FEDERAL WITHHOLDING"</f>
        <v>FEDERAL WITHHOLDING</v>
      </c>
    </row>
    <row r="1963" spans="1:8" x14ac:dyDescent="0.25">
      <c r="E1963" t="str">
        <f>"T1 202110136442"</f>
        <v>T1 202110136442</v>
      </c>
      <c r="F1963" t="str">
        <f>"FEDERAL WITHHOLDING"</f>
        <v>FEDERAL WITHHOLDING</v>
      </c>
      <c r="G1963" s="3">
        <v>2849.21</v>
      </c>
      <c r="H1963" t="str">
        <f>"FEDERAL WITHHOLDING"</f>
        <v>FEDERAL WITHHOLDING</v>
      </c>
    </row>
    <row r="1964" spans="1:8" x14ac:dyDescent="0.25">
      <c r="E1964" t="str">
        <f>"T1 202110136443"</f>
        <v>T1 202110136443</v>
      </c>
      <c r="F1964" t="str">
        <f>"FEDERAL WITHHOLDING"</f>
        <v>FEDERAL WITHHOLDING</v>
      </c>
      <c r="G1964" s="3">
        <v>3199.27</v>
      </c>
      <c r="H1964" t="str">
        <f>"FEDERAL WITHHOLDING"</f>
        <v>FEDERAL WITHHOLDING</v>
      </c>
    </row>
    <row r="1965" spans="1:8" x14ac:dyDescent="0.25">
      <c r="E1965" t="str">
        <f>"T3 202110136441"</f>
        <v>T3 202110136441</v>
      </c>
      <c r="F1965" t="str">
        <f>"SOCIAL SECURITY TAXES"</f>
        <v>SOCIAL SECURITY TAXES</v>
      </c>
      <c r="G1965" s="3">
        <v>526.15</v>
      </c>
      <c r="H1965" t="str">
        <f t="shared" ref="H1965:H2020" si="36">"SOCIAL SECURITY TAXES"</f>
        <v>SOCIAL SECURITY TAXES</v>
      </c>
    </row>
    <row r="1966" spans="1:8" x14ac:dyDescent="0.25">
      <c r="E1966" t="str">
        <f>""</f>
        <v/>
      </c>
      <c r="F1966" t="str">
        <f>""</f>
        <v/>
      </c>
      <c r="G1966" s="3">
        <v>381.18</v>
      </c>
      <c r="H1966" t="str">
        <f t="shared" si="36"/>
        <v>SOCIAL SECURITY TAXES</v>
      </c>
    </row>
    <row r="1967" spans="1:8" x14ac:dyDescent="0.25">
      <c r="E1967" t="str">
        <f>""</f>
        <v/>
      </c>
      <c r="F1967" t="str">
        <f>""</f>
        <v/>
      </c>
      <c r="G1967" s="3">
        <v>973.07</v>
      </c>
      <c r="H1967" t="str">
        <f t="shared" si="36"/>
        <v>SOCIAL SECURITY TAXES</v>
      </c>
    </row>
    <row r="1968" spans="1:8" x14ac:dyDescent="0.25">
      <c r="E1968" t="str">
        <f>""</f>
        <v/>
      </c>
      <c r="F1968" t="str">
        <f>""</f>
        <v/>
      </c>
      <c r="G1968" s="3">
        <v>408.58</v>
      </c>
      <c r="H1968" t="str">
        <f t="shared" si="36"/>
        <v>SOCIAL SECURITY TAXES</v>
      </c>
    </row>
    <row r="1969" spans="5:8" x14ac:dyDescent="0.25">
      <c r="E1969" t="str">
        <f>""</f>
        <v/>
      </c>
      <c r="F1969" t="str">
        <f>""</f>
        <v/>
      </c>
      <c r="G1969" s="3">
        <v>181.47</v>
      </c>
      <c r="H1969" t="str">
        <f t="shared" si="36"/>
        <v>SOCIAL SECURITY TAXES</v>
      </c>
    </row>
    <row r="1970" spans="5:8" x14ac:dyDescent="0.25">
      <c r="E1970" t="str">
        <f>""</f>
        <v/>
      </c>
      <c r="F1970" t="str">
        <f>""</f>
        <v/>
      </c>
      <c r="G1970" s="3">
        <v>873.81</v>
      </c>
      <c r="H1970" t="str">
        <f t="shared" si="36"/>
        <v>SOCIAL SECURITY TAXES</v>
      </c>
    </row>
    <row r="1971" spans="5:8" x14ac:dyDescent="0.25">
      <c r="E1971" t="str">
        <f>""</f>
        <v/>
      </c>
      <c r="F1971" t="str">
        <f>""</f>
        <v/>
      </c>
      <c r="G1971" s="3">
        <v>2608.25</v>
      </c>
      <c r="H1971" t="str">
        <f t="shared" si="36"/>
        <v>SOCIAL SECURITY TAXES</v>
      </c>
    </row>
    <row r="1972" spans="5:8" x14ac:dyDescent="0.25">
      <c r="E1972" t="str">
        <f>""</f>
        <v/>
      </c>
      <c r="F1972" t="str">
        <f>""</f>
        <v/>
      </c>
      <c r="G1972" s="3">
        <v>90.01</v>
      </c>
      <c r="H1972" t="str">
        <f t="shared" si="36"/>
        <v>SOCIAL SECURITY TAXES</v>
      </c>
    </row>
    <row r="1973" spans="5:8" x14ac:dyDescent="0.25">
      <c r="E1973" t="str">
        <f>""</f>
        <v/>
      </c>
      <c r="F1973" t="str">
        <f>""</f>
        <v/>
      </c>
      <c r="G1973" s="3">
        <v>827.39</v>
      </c>
      <c r="H1973" t="str">
        <f t="shared" si="36"/>
        <v>SOCIAL SECURITY TAXES</v>
      </c>
    </row>
    <row r="1974" spans="5:8" x14ac:dyDescent="0.25">
      <c r="E1974" t="str">
        <f>""</f>
        <v/>
      </c>
      <c r="F1974" t="str">
        <f>""</f>
        <v/>
      </c>
      <c r="G1974" s="3">
        <v>838.2</v>
      </c>
      <c r="H1974" t="str">
        <f t="shared" si="36"/>
        <v>SOCIAL SECURITY TAXES</v>
      </c>
    </row>
    <row r="1975" spans="5:8" x14ac:dyDescent="0.25">
      <c r="E1975" t="str">
        <f>""</f>
        <v/>
      </c>
      <c r="F1975" t="str">
        <f>""</f>
        <v/>
      </c>
      <c r="G1975" s="3">
        <v>1433.79</v>
      </c>
      <c r="H1975" t="str">
        <f t="shared" si="36"/>
        <v>SOCIAL SECURITY TAXES</v>
      </c>
    </row>
    <row r="1976" spans="5:8" x14ac:dyDescent="0.25">
      <c r="E1976" t="str">
        <f>""</f>
        <v/>
      </c>
      <c r="F1976" t="str">
        <f>""</f>
        <v/>
      </c>
      <c r="G1976" s="3">
        <v>450.18</v>
      </c>
      <c r="H1976" t="str">
        <f t="shared" si="36"/>
        <v>SOCIAL SECURITY TAXES</v>
      </c>
    </row>
    <row r="1977" spans="5:8" x14ac:dyDescent="0.25">
      <c r="E1977" t="str">
        <f>""</f>
        <v/>
      </c>
      <c r="F1977" t="str">
        <f>""</f>
        <v/>
      </c>
      <c r="G1977" s="3">
        <v>464.06</v>
      </c>
      <c r="H1977" t="str">
        <f t="shared" si="36"/>
        <v>SOCIAL SECURITY TAXES</v>
      </c>
    </row>
    <row r="1978" spans="5:8" x14ac:dyDescent="0.25">
      <c r="E1978" t="str">
        <f>""</f>
        <v/>
      </c>
      <c r="F1978" t="str">
        <f>""</f>
        <v/>
      </c>
      <c r="G1978" s="3">
        <v>371.81</v>
      </c>
      <c r="H1978" t="str">
        <f t="shared" si="36"/>
        <v>SOCIAL SECURITY TAXES</v>
      </c>
    </row>
    <row r="1979" spans="5:8" x14ac:dyDescent="0.25">
      <c r="E1979" t="str">
        <f>""</f>
        <v/>
      </c>
      <c r="F1979" t="str">
        <f>""</f>
        <v/>
      </c>
      <c r="G1979" s="3">
        <v>404.26</v>
      </c>
      <c r="H1979" t="str">
        <f t="shared" si="36"/>
        <v>SOCIAL SECURITY TAXES</v>
      </c>
    </row>
    <row r="1980" spans="5:8" x14ac:dyDescent="0.25">
      <c r="E1980" t="str">
        <f>""</f>
        <v/>
      </c>
      <c r="F1980" t="str">
        <f>""</f>
        <v/>
      </c>
      <c r="G1980" s="3">
        <v>222.78</v>
      </c>
      <c r="H1980" t="str">
        <f t="shared" si="36"/>
        <v>SOCIAL SECURITY TAXES</v>
      </c>
    </row>
    <row r="1981" spans="5:8" x14ac:dyDescent="0.25">
      <c r="E1981" t="str">
        <f>""</f>
        <v/>
      </c>
      <c r="F1981" t="str">
        <f>""</f>
        <v/>
      </c>
      <c r="G1981" s="3">
        <v>2668.89</v>
      </c>
      <c r="H1981" t="str">
        <f t="shared" si="36"/>
        <v>SOCIAL SECURITY TAXES</v>
      </c>
    </row>
    <row r="1982" spans="5:8" x14ac:dyDescent="0.25">
      <c r="E1982" t="str">
        <f>""</f>
        <v/>
      </c>
      <c r="F1982" t="str">
        <f>""</f>
        <v/>
      </c>
      <c r="G1982" s="3">
        <v>1027.9100000000001</v>
      </c>
      <c r="H1982" t="str">
        <f t="shared" si="36"/>
        <v>SOCIAL SECURITY TAXES</v>
      </c>
    </row>
    <row r="1983" spans="5:8" x14ac:dyDescent="0.25">
      <c r="E1983" t="str">
        <f>""</f>
        <v/>
      </c>
      <c r="F1983" t="str">
        <f>""</f>
        <v/>
      </c>
      <c r="G1983" s="3">
        <v>490.96</v>
      </c>
      <c r="H1983" t="str">
        <f t="shared" si="36"/>
        <v>SOCIAL SECURITY TAXES</v>
      </c>
    </row>
    <row r="1984" spans="5:8" x14ac:dyDescent="0.25">
      <c r="E1984" t="str">
        <f>""</f>
        <v/>
      </c>
      <c r="F1984" t="str">
        <f>""</f>
        <v/>
      </c>
      <c r="G1984" s="3">
        <v>477.37</v>
      </c>
      <c r="H1984" t="str">
        <f t="shared" si="36"/>
        <v>SOCIAL SECURITY TAXES</v>
      </c>
    </row>
    <row r="1985" spans="5:8" x14ac:dyDescent="0.25">
      <c r="E1985" t="str">
        <f>""</f>
        <v/>
      </c>
      <c r="F1985" t="str">
        <f>""</f>
        <v/>
      </c>
      <c r="G1985" s="3">
        <v>1326.87</v>
      </c>
      <c r="H1985" t="str">
        <f t="shared" si="36"/>
        <v>SOCIAL SECURITY TAXES</v>
      </c>
    </row>
    <row r="1986" spans="5:8" x14ac:dyDescent="0.25">
      <c r="E1986" t="str">
        <f>""</f>
        <v/>
      </c>
      <c r="F1986" t="str">
        <f>""</f>
        <v/>
      </c>
      <c r="G1986" s="3">
        <v>725.04</v>
      </c>
      <c r="H1986" t="str">
        <f t="shared" si="36"/>
        <v>SOCIAL SECURITY TAXES</v>
      </c>
    </row>
    <row r="1987" spans="5:8" x14ac:dyDescent="0.25">
      <c r="E1987" t="str">
        <f>""</f>
        <v/>
      </c>
      <c r="F1987" t="str">
        <f>""</f>
        <v/>
      </c>
      <c r="G1987" s="3">
        <v>1779.93</v>
      </c>
      <c r="H1987" t="str">
        <f t="shared" si="36"/>
        <v>SOCIAL SECURITY TAXES</v>
      </c>
    </row>
    <row r="1988" spans="5:8" x14ac:dyDescent="0.25">
      <c r="E1988" t="str">
        <f>""</f>
        <v/>
      </c>
      <c r="F1988" t="str">
        <f>""</f>
        <v/>
      </c>
      <c r="G1988" s="3">
        <v>1289.1300000000001</v>
      </c>
      <c r="H1988" t="str">
        <f t="shared" si="36"/>
        <v>SOCIAL SECURITY TAXES</v>
      </c>
    </row>
    <row r="1989" spans="5:8" x14ac:dyDescent="0.25">
      <c r="E1989" t="str">
        <f>""</f>
        <v/>
      </c>
      <c r="F1989" t="str">
        <f>""</f>
        <v/>
      </c>
      <c r="G1989" s="3">
        <v>2475.81</v>
      </c>
      <c r="H1989" t="str">
        <f t="shared" si="36"/>
        <v>SOCIAL SECURITY TAXES</v>
      </c>
    </row>
    <row r="1990" spans="5:8" x14ac:dyDescent="0.25">
      <c r="E1990" t="str">
        <f>""</f>
        <v/>
      </c>
      <c r="F1990" t="str">
        <f>""</f>
        <v/>
      </c>
      <c r="G1990" s="3">
        <v>125.82</v>
      </c>
      <c r="H1990" t="str">
        <f t="shared" si="36"/>
        <v>SOCIAL SECURITY TAXES</v>
      </c>
    </row>
    <row r="1991" spans="5:8" x14ac:dyDescent="0.25">
      <c r="E1991" t="str">
        <f>""</f>
        <v/>
      </c>
      <c r="F1991" t="str">
        <f>""</f>
        <v/>
      </c>
      <c r="G1991" s="3">
        <v>139.37</v>
      </c>
      <c r="H1991" t="str">
        <f t="shared" si="36"/>
        <v>SOCIAL SECURITY TAXES</v>
      </c>
    </row>
    <row r="1992" spans="5:8" x14ac:dyDescent="0.25">
      <c r="E1992" t="str">
        <f>""</f>
        <v/>
      </c>
      <c r="F1992" t="str">
        <f>""</f>
        <v/>
      </c>
      <c r="G1992" s="3">
        <v>132.33000000000001</v>
      </c>
      <c r="H1992" t="str">
        <f t="shared" si="36"/>
        <v>SOCIAL SECURITY TAXES</v>
      </c>
    </row>
    <row r="1993" spans="5:8" x14ac:dyDescent="0.25">
      <c r="E1993" t="str">
        <f>""</f>
        <v/>
      </c>
      <c r="F1993" t="str">
        <f>""</f>
        <v/>
      </c>
      <c r="G1993" s="3">
        <v>128.4</v>
      </c>
      <c r="H1993" t="str">
        <f t="shared" si="36"/>
        <v>SOCIAL SECURITY TAXES</v>
      </c>
    </row>
    <row r="1994" spans="5:8" x14ac:dyDescent="0.25">
      <c r="E1994" t="str">
        <f>""</f>
        <v/>
      </c>
      <c r="F1994" t="str">
        <f>""</f>
        <v/>
      </c>
      <c r="G1994" s="3">
        <v>13244.93</v>
      </c>
      <c r="H1994" t="str">
        <f t="shared" si="36"/>
        <v>SOCIAL SECURITY TAXES</v>
      </c>
    </row>
    <row r="1995" spans="5:8" x14ac:dyDescent="0.25">
      <c r="E1995" t="str">
        <f>""</f>
        <v/>
      </c>
      <c r="F1995" t="str">
        <f>""</f>
        <v/>
      </c>
      <c r="G1995" s="3">
        <v>573.30999999999995</v>
      </c>
      <c r="H1995" t="str">
        <f t="shared" si="36"/>
        <v>SOCIAL SECURITY TAXES</v>
      </c>
    </row>
    <row r="1996" spans="5:8" x14ac:dyDescent="0.25">
      <c r="E1996" t="str">
        <f>""</f>
        <v/>
      </c>
      <c r="F1996" t="str">
        <f>""</f>
        <v/>
      </c>
      <c r="G1996" s="3">
        <v>10747.65</v>
      </c>
      <c r="H1996" t="str">
        <f t="shared" si="36"/>
        <v>SOCIAL SECURITY TAXES</v>
      </c>
    </row>
    <row r="1997" spans="5:8" x14ac:dyDescent="0.25">
      <c r="E1997" t="str">
        <f>""</f>
        <v/>
      </c>
      <c r="F1997" t="str">
        <f>""</f>
        <v/>
      </c>
      <c r="G1997" s="3">
        <v>1681.65</v>
      </c>
      <c r="H1997" t="str">
        <f t="shared" si="36"/>
        <v>SOCIAL SECURITY TAXES</v>
      </c>
    </row>
    <row r="1998" spans="5:8" x14ac:dyDescent="0.25">
      <c r="E1998" t="str">
        <f>""</f>
        <v/>
      </c>
      <c r="F1998" t="str">
        <f>""</f>
        <v/>
      </c>
      <c r="G1998" s="3">
        <v>121.79</v>
      </c>
      <c r="H1998" t="str">
        <f t="shared" si="36"/>
        <v>SOCIAL SECURITY TAXES</v>
      </c>
    </row>
    <row r="1999" spans="5:8" x14ac:dyDescent="0.25">
      <c r="E1999" t="str">
        <f>""</f>
        <v/>
      </c>
      <c r="F1999" t="str">
        <f>""</f>
        <v/>
      </c>
      <c r="G1999" s="3">
        <v>338.29</v>
      </c>
      <c r="H1999" t="str">
        <f t="shared" si="36"/>
        <v>SOCIAL SECURITY TAXES</v>
      </c>
    </row>
    <row r="2000" spans="5:8" x14ac:dyDescent="0.25">
      <c r="E2000" t="str">
        <f>""</f>
        <v/>
      </c>
      <c r="F2000" t="str">
        <f>""</f>
        <v/>
      </c>
      <c r="G2000" s="3">
        <v>34.619999999999997</v>
      </c>
      <c r="H2000" t="str">
        <f t="shared" si="36"/>
        <v>SOCIAL SECURITY TAXES</v>
      </c>
    </row>
    <row r="2001" spans="5:8" x14ac:dyDescent="0.25">
      <c r="E2001" t="str">
        <f>""</f>
        <v/>
      </c>
      <c r="F2001" t="str">
        <f>""</f>
        <v/>
      </c>
      <c r="G2001" s="3">
        <v>281.83999999999997</v>
      </c>
      <c r="H2001" t="str">
        <f t="shared" si="36"/>
        <v>SOCIAL SECURITY TAXES</v>
      </c>
    </row>
    <row r="2002" spans="5:8" x14ac:dyDescent="0.25">
      <c r="E2002" t="str">
        <f>""</f>
        <v/>
      </c>
      <c r="F2002" t="str">
        <f>""</f>
        <v/>
      </c>
      <c r="G2002" s="3">
        <v>117.35</v>
      </c>
      <c r="H2002" t="str">
        <f t="shared" si="36"/>
        <v>SOCIAL SECURITY TAXES</v>
      </c>
    </row>
    <row r="2003" spans="5:8" x14ac:dyDescent="0.25">
      <c r="E2003" t="str">
        <f>""</f>
        <v/>
      </c>
      <c r="F2003" t="str">
        <f>""</f>
        <v/>
      </c>
      <c r="G2003" s="3">
        <v>560.67999999999995</v>
      </c>
      <c r="H2003" t="str">
        <f t="shared" si="36"/>
        <v>SOCIAL SECURITY TAXES</v>
      </c>
    </row>
    <row r="2004" spans="5:8" x14ac:dyDescent="0.25">
      <c r="E2004" t="str">
        <f>""</f>
        <v/>
      </c>
      <c r="F2004" t="str">
        <f>""</f>
        <v/>
      </c>
      <c r="G2004" s="3">
        <v>301.33</v>
      </c>
      <c r="H2004" t="str">
        <f t="shared" si="36"/>
        <v>SOCIAL SECURITY TAXES</v>
      </c>
    </row>
    <row r="2005" spans="5:8" x14ac:dyDescent="0.25">
      <c r="E2005" t="str">
        <f>""</f>
        <v/>
      </c>
      <c r="F2005" t="str">
        <f>""</f>
        <v/>
      </c>
      <c r="G2005" s="3">
        <v>110.59</v>
      </c>
      <c r="H2005" t="str">
        <f t="shared" si="36"/>
        <v>SOCIAL SECURITY TAXES</v>
      </c>
    </row>
    <row r="2006" spans="5:8" x14ac:dyDescent="0.25">
      <c r="E2006" t="str">
        <f>""</f>
        <v/>
      </c>
      <c r="F2006" t="str">
        <f>""</f>
        <v/>
      </c>
      <c r="G2006" s="3">
        <v>1565.4</v>
      </c>
      <c r="H2006" t="str">
        <f t="shared" si="36"/>
        <v>SOCIAL SECURITY TAXES</v>
      </c>
    </row>
    <row r="2007" spans="5:8" x14ac:dyDescent="0.25">
      <c r="E2007" t="str">
        <f>""</f>
        <v/>
      </c>
      <c r="F2007" t="str">
        <f>""</f>
        <v/>
      </c>
      <c r="G2007" s="3">
        <v>1702.34</v>
      </c>
      <c r="H2007" t="str">
        <f t="shared" si="36"/>
        <v>SOCIAL SECURITY TAXES</v>
      </c>
    </row>
    <row r="2008" spans="5:8" x14ac:dyDescent="0.25">
      <c r="E2008" t="str">
        <f>""</f>
        <v/>
      </c>
      <c r="F2008" t="str">
        <f>""</f>
        <v/>
      </c>
      <c r="G2008" s="3">
        <v>1852.43</v>
      </c>
      <c r="H2008" t="str">
        <f t="shared" si="36"/>
        <v>SOCIAL SECURITY TAXES</v>
      </c>
    </row>
    <row r="2009" spans="5:8" x14ac:dyDescent="0.25">
      <c r="E2009" t="str">
        <f>""</f>
        <v/>
      </c>
      <c r="F2009" t="str">
        <f>""</f>
        <v/>
      </c>
      <c r="G2009" s="3">
        <v>2049.65</v>
      </c>
      <c r="H2009" t="str">
        <f t="shared" si="36"/>
        <v>SOCIAL SECURITY TAXES</v>
      </c>
    </row>
    <row r="2010" spans="5:8" x14ac:dyDescent="0.25">
      <c r="E2010" t="str">
        <f>""</f>
        <v/>
      </c>
      <c r="F2010" t="str">
        <f>""</f>
        <v/>
      </c>
      <c r="G2010" s="3">
        <v>230.54</v>
      </c>
      <c r="H2010" t="str">
        <f t="shared" si="36"/>
        <v>SOCIAL SECURITY TAXES</v>
      </c>
    </row>
    <row r="2011" spans="5:8" x14ac:dyDescent="0.25">
      <c r="E2011" t="str">
        <f>""</f>
        <v/>
      </c>
      <c r="F2011" t="str">
        <f>""</f>
        <v/>
      </c>
      <c r="G2011" s="3">
        <v>58.88</v>
      </c>
      <c r="H2011" t="str">
        <f t="shared" si="36"/>
        <v>SOCIAL SECURITY TAXES</v>
      </c>
    </row>
    <row r="2012" spans="5:8" x14ac:dyDescent="0.25">
      <c r="E2012" t="str">
        <f>""</f>
        <v/>
      </c>
      <c r="F2012" t="str">
        <f>""</f>
        <v/>
      </c>
      <c r="G2012" s="3">
        <v>7.15</v>
      </c>
      <c r="H2012" t="str">
        <f t="shared" si="36"/>
        <v>SOCIAL SECURITY TAXES</v>
      </c>
    </row>
    <row r="2013" spans="5:8" x14ac:dyDescent="0.25">
      <c r="E2013" t="str">
        <f>""</f>
        <v/>
      </c>
      <c r="F2013" t="str">
        <f>""</f>
        <v/>
      </c>
      <c r="G2013" s="3">
        <v>15.03</v>
      </c>
      <c r="H2013" t="str">
        <f t="shared" si="36"/>
        <v>SOCIAL SECURITY TAXES</v>
      </c>
    </row>
    <row r="2014" spans="5:8" x14ac:dyDescent="0.25">
      <c r="E2014" t="str">
        <f>""</f>
        <v/>
      </c>
      <c r="F2014" t="str">
        <f>""</f>
        <v/>
      </c>
      <c r="G2014" s="3">
        <v>20.7</v>
      </c>
      <c r="H2014" t="str">
        <f t="shared" si="36"/>
        <v>SOCIAL SECURITY TAXES</v>
      </c>
    </row>
    <row r="2015" spans="5:8" x14ac:dyDescent="0.25">
      <c r="E2015" t="str">
        <f>""</f>
        <v/>
      </c>
      <c r="F2015" t="str">
        <f>""</f>
        <v/>
      </c>
      <c r="G2015" s="3">
        <v>374.65</v>
      </c>
      <c r="H2015" t="str">
        <f t="shared" si="36"/>
        <v>SOCIAL SECURITY TAXES</v>
      </c>
    </row>
    <row r="2016" spans="5:8" x14ac:dyDescent="0.25">
      <c r="E2016" t="str">
        <f>""</f>
        <v/>
      </c>
      <c r="F2016" t="str">
        <f>""</f>
        <v/>
      </c>
      <c r="G2016" s="3">
        <v>59833.62</v>
      </c>
      <c r="H2016" t="str">
        <f t="shared" si="36"/>
        <v>SOCIAL SECURITY TAXES</v>
      </c>
    </row>
    <row r="2017" spans="5:8" x14ac:dyDescent="0.25">
      <c r="E2017" t="str">
        <f>"T3 202110136442"</f>
        <v>T3 202110136442</v>
      </c>
      <c r="F2017" t="str">
        <f>"SOCIAL SECURITY TAXES"</f>
        <v>SOCIAL SECURITY TAXES</v>
      </c>
      <c r="G2017" s="3">
        <v>2006.75</v>
      </c>
      <c r="H2017" t="str">
        <f t="shared" si="36"/>
        <v>SOCIAL SECURITY TAXES</v>
      </c>
    </row>
    <row r="2018" spans="5:8" x14ac:dyDescent="0.25">
      <c r="E2018" t="str">
        <f>""</f>
        <v/>
      </c>
      <c r="F2018" t="str">
        <f>""</f>
        <v/>
      </c>
      <c r="G2018" s="3">
        <v>2006.75</v>
      </c>
      <c r="H2018" t="str">
        <f t="shared" si="36"/>
        <v>SOCIAL SECURITY TAXES</v>
      </c>
    </row>
    <row r="2019" spans="5:8" x14ac:dyDescent="0.25">
      <c r="E2019" t="str">
        <f>"T3 202110136443"</f>
        <v>T3 202110136443</v>
      </c>
      <c r="F2019" t="str">
        <f>"SOCIAL SECURITY TAXES"</f>
        <v>SOCIAL SECURITY TAXES</v>
      </c>
      <c r="G2019" s="3">
        <v>2337.71</v>
      </c>
      <c r="H2019" t="str">
        <f t="shared" si="36"/>
        <v>SOCIAL SECURITY TAXES</v>
      </c>
    </row>
    <row r="2020" spans="5:8" x14ac:dyDescent="0.25">
      <c r="E2020" t="str">
        <f>""</f>
        <v/>
      </c>
      <c r="F2020" t="str">
        <f>""</f>
        <v/>
      </c>
      <c r="G2020" s="3">
        <v>2337.71</v>
      </c>
      <c r="H2020" t="str">
        <f t="shared" si="36"/>
        <v>SOCIAL SECURITY TAXES</v>
      </c>
    </row>
    <row r="2021" spans="5:8" x14ac:dyDescent="0.25">
      <c r="E2021" t="str">
        <f>"T4 202110136441"</f>
        <v>T4 202110136441</v>
      </c>
      <c r="F2021" t="str">
        <f>"MEDICARE TAXES"</f>
        <v>MEDICARE TAXES</v>
      </c>
      <c r="G2021" s="3">
        <v>123.05</v>
      </c>
      <c r="H2021" t="str">
        <f t="shared" ref="H2021:H2076" si="37">"MEDICARE TAXES"</f>
        <v>MEDICARE TAXES</v>
      </c>
    </row>
    <row r="2022" spans="5:8" x14ac:dyDescent="0.25">
      <c r="E2022" t="str">
        <f>""</f>
        <v/>
      </c>
      <c r="F2022" t="str">
        <f>""</f>
        <v/>
      </c>
      <c r="G2022" s="3">
        <v>89.16</v>
      </c>
      <c r="H2022" t="str">
        <f t="shared" si="37"/>
        <v>MEDICARE TAXES</v>
      </c>
    </row>
    <row r="2023" spans="5:8" x14ac:dyDescent="0.25">
      <c r="E2023" t="str">
        <f>""</f>
        <v/>
      </c>
      <c r="F2023" t="str">
        <f>""</f>
        <v/>
      </c>
      <c r="G2023" s="3">
        <v>227.58</v>
      </c>
      <c r="H2023" t="str">
        <f t="shared" si="37"/>
        <v>MEDICARE TAXES</v>
      </c>
    </row>
    <row r="2024" spans="5:8" x14ac:dyDescent="0.25">
      <c r="E2024" t="str">
        <f>""</f>
        <v/>
      </c>
      <c r="F2024" t="str">
        <f>""</f>
        <v/>
      </c>
      <c r="G2024" s="3">
        <v>95.55</v>
      </c>
      <c r="H2024" t="str">
        <f t="shared" si="37"/>
        <v>MEDICARE TAXES</v>
      </c>
    </row>
    <row r="2025" spans="5:8" x14ac:dyDescent="0.25">
      <c r="E2025" t="str">
        <f>""</f>
        <v/>
      </c>
      <c r="F2025" t="str">
        <f>""</f>
        <v/>
      </c>
      <c r="G2025" s="3">
        <v>42.44</v>
      </c>
      <c r="H2025" t="str">
        <f t="shared" si="37"/>
        <v>MEDICARE TAXES</v>
      </c>
    </row>
    <row r="2026" spans="5:8" x14ac:dyDescent="0.25">
      <c r="E2026" t="str">
        <f>""</f>
        <v/>
      </c>
      <c r="F2026" t="str">
        <f>""</f>
        <v/>
      </c>
      <c r="G2026" s="3">
        <v>204.35</v>
      </c>
      <c r="H2026" t="str">
        <f t="shared" si="37"/>
        <v>MEDICARE TAXES</v>
      </c>
    </row>
    <row r="2027" spans="5:8" x14ac:dyDescent="0.25">
      <c r="E2027" t="str">
        <f>""</f>
        <v/>
      </c>
      <c r="F2027" t="str">
        <f>""</f>
        <v/>
      </c>
      <c r="G2027" s="3">
        <v>610</v>
      </c>
      <c r="H2027" t="str">
        <f t="shared" si="37"/>
        <v>MEDICARE TAXES</v>
      </c>
    </row>
    <row r="2028" spans="5:8" x14ac:dyDescent="0.25">
      <c r="E2028" t="str">
        <f>""</f>
        <v/>
      </c>
      <c r="F2028" t="str">
        <f>""</f>
        <v/>
      </c>
      <c r="G2028" s="3">
        <v>21.05</v>
      </c>
      <c r="H2028" t="str">
        <f t="shared" si="37"/>
        <v>MEDICARE TAXES</v>
      </c>
    </row>
    <row r="2029" spans="5:8" x14ac:dyDescent="0.25">
      <c r="E2029" t="str">
        <f>""</f>
        <v/>
      </c>
      <c r="F2029" t="str">
        <f>""</f>
        <v/>
      </c>
      <c r="G2029" s="3">
        <v>193.51</v>
      </c>
      <c r="H2029" t="str">
        <f t="shared" si="37"/>
        <v>MEDICARE TAXES</v>
      </c>
    </row>
    <row r="2030" spans="5:8" x14ac:dyDescent="0.25">
      <c r="E2030" t="str">
        <f>""</f>
        <v/>
      </c>
      <c r="F2030" t="str">
        <f>""</f>
        <v/>
      </c>
      <c r="G2030" s="3">
        <v>196.02</v>
      </c>
      <c r="H2030" t="str">
        <f t="shared" si="37"/>
        <v>MEDICARE TAXES</v>
      </c>
    </row>
    <row r="2031" spans="5:8" x14ac:dyDescent="0.25">
      <c r="E2031" t="str">
        <f>""</f>
        <v/>
      </c>
      <c r="F2031" t="str">
        <f>""</f>
        <v/>
      </c>
      <c r="G2031" s="3">
        <v>335.32</v>
      </c>
      <c r="H2031" t="str">
        <f t="shared" si="37"/>
        <v>MEDICARE TAXES</v>
      </c>
    </row>
    <row r="2032" spans="5:8" x14ac:dyDescent="0.25">
      <c r="E2032" t="str">
        <f>""</f>
        <v/>
      </c>
      <c r="F2032" t="str">
        <f>""</f>
        <v/>
      </c>
      <c r="G2032" s="3">
        <v>105.29</v>
      </c>
      <c r="H2032" t="str">
        <f t="shared" si="37"/>
        <v>MEDICARE TAXES</v>
      </c>
    </row>
    <row r="2033" spans="5:8" x14ac:dyDescent="0.25">
      <c r="E2033" t="str">
        <f>""</f>
        <v/>
      </c>
      <c r="F2033" t="str">
        <f>""</f>
        <v/>
      </c>
      <c r="G2033" s="3">
        <v>108.53</v>
      </c>
      <c r="H2033" t="str">
        <f t="shared" si="37"/>
        <v>MEDICARE TAXES</v>
      </c>
    </row>
    <row r="2034" spans="5:8" x14ac:dyDescent="0.25">
      <c r="E2034" t="str">
        <f>""</f>
        <v/>
      </c>
      <c r="F2034" t="str">
        <f>""</f>
        <v/>
      </c>
      <c r="G2034" s="3">
        <v>86.95</v>
      </c>
      <c r="H2034" t="str">
        <f t="shared" si="37"/>
        <v>MEDICARE TAXES</v>
      </c>
    </row>
    <row r="2035" spans="5:8" x14ac:dyDescent="0.25">
      <c r="E2035" t="str">
        <f>""</f>
        <v/>
      </c>
      <c r="F2035" t="str">
        <f>""</f>
        <v/>
      </c>
      <c r="G2035" s="3">
        <v>94.55</v>
      </c>
      <c r="H2035" t="str">
        <f t="shared" si="37"/>
        <v>MEDICARE TAXES</v>
      </c>
    </row>
    <row r="2036" spans="5:8" x14ac:dyDescent="0.25">
      <c r="E2036" t="str">
        <f>""</f>
        <v/>
      </c>
      <c r="F2036" t="str">
        <f>""</f>
        <v/>
      </c>
      <c r="G2036" s="3">
        <v>52.1</v>
      </c>
      <c r="H2036" t="str">
        <f t="shared" si="37"/>
        <v>MEDICARE TAXES</v>
      </c>
    </row>
    <row r="2037" spans="5:8" x14ac:dyDescent="0.25">
      <c r="E2037" t="str">
        <f>""</f>
        <v/>
      </c>
      <c r="F2037" t="str">
        <f>""</f>
        <v/>
      </c>
      <c r="G2037" s="3">
        <v>624.17999999999995</v>
      </c>
      <c r="H2037" t="str">
        <f t="shared" si="37"/>
        <v>MEDICARE TAXES</v>
      </c>
    </row>
    <row r="2038" spans="5:8" x14ac:dyDescent="0.25">
      <c r="E2038" t="str">
        <f>""</f>
        <v/>
      </c>
      <c r="F2038" t="str">
        <f>""</f>
        <v/>
      </c>
      <c r="G2038" s="3">
        <v>240.39</v>
      </c>
      <c r="H2038" t="str">
        <f t="shared" si="37"/>
        <v>MEDICARE TAXES</v>
      </c>
    </row>
    <row r="2039" spans="5:8" x14ac:dyDescent="0.25">
      <c r="E2039" t="str">
        <f>""</f>
        <v/>
      </c>
      <c r="F2039" t="str">
        <f>""</f>
        <v/>
      </c>
      <c r="G2039" s="3">
        <v>114.82</v>
      </c>
      <c r="H2039" t="str">
        <f t="shared" si="37"/>
        <v>MEDICARE TAXES</v>
      </c>
    </row>
    <row r="2040" spans="5:8" x14ac:dyDescent="0.25">
      <c r="E2040" t="str">
        <f>""</f>
        <v/>
      </c>
      <c r="F2040" t="str">
        <f>""</f>
        <v/>
      </c>
      <c r="G2040" s="3">
        <v>111.64</v>
      </c>
      <c r="H2040" t="str">
        <f t="shared" si="37"/>
        <v>MEDICARE TAXES</v>
      </c>
    </row>
    <row r="2041" spans="5:8" x14ac:dyDescent="0.25">
      <c r="E2041" t="str">
        <f>""</f>
        <v/>
      </c>
      <c r="F2041" t="str">
        <f>""</f>
        <v/>
      </c>
      <c r="G2041" s="3">
        <v>310.32</v>
      </c>
      <c r="H2041" t="str">
        <f t="shared" si="37"/>
        <v>MEDICARE TAXES</v>
      </c>
    </row>
    <row r="2042" spans="5:8" x14ac:dyDescent="0.25">
      <c r="E2042" t="str">
        <f>""</f>
        <v/>
      </c>
      <c r="F2042" t="str">
        <f>""</f>
        <v/>
      </c>
      <c r="G2042" s="3">
        <v>169.56</v>
      </c>
      <c r="H2042" t="str">
        <f t="shared" si="37"/>
        <v>MEDICARE TAXES</v>
      </c>
    </row>
    <row r="2043" spans="5:8" x14ac:dyDescent="0.25">
      <c r="E2043" t="str">
        <f>""</f>
        <v/>
      </c>
      <c r="F2043" t="str">
        <f>""</f>
        <v/>
      </c>
      <c r="G2043" s="3">
        <v>416.28</v>
      </c>
      <c r="H2043" t="str">
        <f t="shared" si="37"/>
        <v>MEDICARE TAXES</v>
      </c>
    </row>
    <row r="2044" spans="5:8" x14ac:dyDescent="0.25">
      <c r="E2044" t="str">
        <f>""</f>
        <v/>
      </c>
      <c r="F2044" t="str">
        <f>""</f>
        <v/>
      </c>
      <c r="G2044" s="3">
        <v>301.49</v>
      </c>
      <c r="H2044" t="str">
        <f t="shared" si="37"/>
        <v>MEDICARE TAXES</v>
      </c>
    </row>
    <row r="2045" spans="5:8" x14ac:dyDescent="0.25">
      <c r="E2045" t="str">
        <f>""</f>
        <v/>
      </c>
      <c r="F2045" t="str">
        <f>""</f>
        <v/>
      </c>
      <c r="G2045" s="3">
        <v>579.01</v>
      </c>
      <c r="H2045" t="str">
        <f t="shared" si="37"/>
        <v>MEDICARE TAXES</v>
      </c>
    </row>
    <row r="2046" spans="5:8" x14ac:dyDescent="0.25">
      <c r="E2046" t="str">
        <f>""</f>
        <v/>
      </c>
      <c r="F2046" t="str">
        <f>""</f>
        <v/>
      </c>
      <c r="G2046" s="3">
        <v>29.43</v>
      </c>
      <c r="H2046" t="str">
        <f t="shared" si="37"/>
        <v>MEDICARE TAXES</v>
      </c>
    </row>
    <row r="2047" spans="5:8" x14ac:dyDescent="0.25">
      <c r="E2047" t="str">
        <f>""</f>
        <v/>
      </c>
      <c r="F2047" t="str">
        <f>""</f>
        <v/>
      </c>
      <c r="G2047" s="3">
        <v>32.590000000000003</v>
      </c>
      <c r="H2047" t="str">
        <f t="shared" si="37"/>
        <v>MEDICARE TAXES</v>
      </c>
    </row>
    <row r="2048" spans="5:8" x14ac:dyDescent="0.25">
      <c r="E2048" t="str">
        <f>""</f>
        <v/>
      </c>
      <c r="F2048" t="str">
        <f>""</f>
        <v/>
      </c>
      <c r="G2048" s="3">
        <v>30.95</v>
      </c>
      <c r="H2048" t="str">
        <f t="shared" si="37"/>
        <v>MEDICARE TAXES</v>
      </c>
    </row>
    <row r="2049" spans="5:8" x14ac:dyDescent="0.25">
      <c r="E2049" t="str">
        <f>""</f>
        <v/>
      </c>
      <c r="F2049" t="str">
        <f>""</f>
        <v/>
      </c>
      <c r="G2049" s="3">
        <v>30.03</v>
      </c>
      <c r="H2049" t="str">
        <f t="shared" si="37"/>
        <v>MEDICARE TAXES</v>
      </c>
    </row>
    <row r="2050" spans="5:8" x14ac:dyDescent="0.25">
      <c r="E2050" t="str">
        <f>""</f>
        <v/>
      </c>
      <c r="F2050" t="str">
        <f>""</f>
        <v/>
      </c>
      <c r="G2050" s="3">
        <v>3097.49</v>
      </c>
      <c r="H2050" t="str">
        <f t="shared" si="37"/>
        <v>MEDICARE TAXES</v>
      </c>
    </row>
    <row r="2051" spans="5:8" x14ac:dyDescent="0.25">
      <c r="E2051" t="str">
        <f>""</f>
        <v/>
      </c>
      <c r="F2051" t="str">
        <f>""</f>
        <v/>
      </c>
      <c r="G2051" s="3">
        <v>134.07</v>
      </c>
      <c r="H2051" t="str">
        <f t="shared" si="37"/>
        <v>MEDICARE TAXES</v>
      </c>
    </row>
    <row r="2052" spans="5:8" x14ac:dyDescent="0.25">
      <c r="E2052" t="str">
        <f>""</f>
        <v/>
      </c>
      <c r="F2052" t="str">
        <f>""</f>
        <v/>
      </c>
      <c r="G2052" s="3">
        <v>2513.6999999999998</v>
      </c>
      <c r="H2052" t="str">
        <f t="shared" si="37"/>
        <v>MEDICARE TAXES</v>
      </c>
    </row>
    <row r="2053" spans="5:8" x14ac:dyDescent="0.25">
      <c r="E2053" t="str">
        <f>""</f>
        <v/>
      </c>
      <c r="F2053" t="str">
        <f>""</f>
        <v/>
      </c>
      <c r="G2053" s="3">
        <v>393.29</v>
      </c>
      <c r="H2053" t="str">
        <f t="shared" si="37"/>
        <v>MEDICARE TAXES</v>
      </c>
    </row>
    <row r="2054" spans="5:8" x14ac:dyDescent="0.25">
      <c r="E2054" t="str">
        <f>""</f>
        <v/>
      </c>
      <c r="F2054" t="str">
        <f>""</f>
        <v/>
      </c>
      <c r="G2054" s="3">
        <v>28.48</v>
      </c>
      <c r="H2054" t="str">
        <f t="shared" si="37"/>
        <v>MEDICARE TAXES</v>
      </c>
    </row>
    <row r="2055" spans="5:8" x14ac:dyDescent="0.25">
      <c r="E2055" t="str">
        <f>""</f>
        <v/>
      </c>
      <c r="F2055" t="str">
        <f>""</f>
        <v/>
      </c>
      <c r="G2055" s="3">
        <v>79.12</v>
      </c>
      <c r="H2055" t="str">
        <f t="shared" si="37"/>
        <v>MEDICARE TAXES</v>
      </c>
    </row>
    <row r="2056" spans="5:8" x14ac:dyDescent="0.25">
      <c r="E2056" t="str">
        <f>""</f>
        <v/>
      </c>
      <c r="F2056" t="str">
        <f>""</f>
        <v/>
      </c>
      <c r="G2056" s="3">
        <v>8.09</v>
      </c>
      <c r="H2056" t="str">
        <f t="shared" si="37"/>
        <v>MEDICARE TAXES</v>
      </c>
    </row>
    <row r="2057" spans="5:8" x14ac:dyDescent="0.25">
      <c r="E2057" t="str">
        <f>""</f>
        <v/>
      </c>
      <c r="F2057" t="str">
        <f>""</f>
        <v/>
      </c>
      <c r="G2057" s="3">
        <v>65.92</v>
      </c>
      <c r="H2057" t="str">
        <f t="shared" si="37"/>
        <v>MEDICARE TAXES</v>
      </c>
    </row>
    <row r="2058" spans="5:8" x14ac:dyDescent="0.25">
      <c r="E2058" t="str">
        <f>""</f>
        <v/>
      </c>
      <c r="F2058" t="str">
        <f>""</f>
        <v/>
      </c>
      <c r="G2058" s="3">
        <v>27.45</v>
      </c>
      <c r="H2058" t="str">
        <f t="shared" si="37"/>
        <v>MEDICARE TAXES</v>
      </c>
    </row>
    <row r="2059" spans="5:8" x14ac:dyDescent="0.25">
      <c r="E2059" t="str">
        <f>""</f>
        <v/>
      </c>
      <c r="F2059" t="str">
        <f>""</f>
        <v/>
      </c>
      <c r="G2059" s="3">
        <v>131.12</v>
      </c>
      <c r="H2059" t="str">
        <f t="shared" si="37"/>
        <v>MEDICARE TAXES</v>
      </c>
    </row>
    <row r="2060" spans="5:8" x14ac:dyDescent="0.25">
      <c r="E2060" t="str">
        <f>""</f>
        <v/>
      </c>
      <c r="F2060" t="str">
        <f>""</f>
        <v/>
      </c>
      <c r="G2060" s="3">
        <v>70.47</v>
      </c>
      <c r="H2060" t="str">
        <f t="shared" si="37"/>
        <v>MEDICARE TAXES</v>
      </c>
    </row>
    <row r="2061" spans="5:8" x14ac:dyDescent="0.25">
      <c r="E2061" t="str">
        <f>""</f>
        <v/>
      </c>
      <c r="F2061" t="str">
        <f>""</f>
        <v/>
      </c>
      <c r="G2061" s="3">
        <v>25.87</v>
      </c>
      <c r="H2061" t="str">
        <f t="shared" si="37"/>
        <v>MEDICARE TAXES</v>
      </c>
    </row>
    <row r="2062" spans="5:8" x14ac:dyDescent="0.25">
      <c r="E2062" t="str">
        <f>""</f>
        <v/>
      </c>
      <c r="F2062" t="str">
        <f>""</f>
        <v/>
      </c>
      <c r="G2062" s="3">
        <v>366.09</v>
      </c>
      <c r="H2062" t="str">
        <f t="shared" si="37"/>
        <v>MEDICARE TAXES</v>
      </c>
    </row>
    <row r="2063" spans="5:8" x14ac:dyDescent="0.25">
      <c r="E2063" t="str">
        <f>""</f>
        <v/>
      </c>
      <c r="F2063" t="str">
        <f>""</f>
        <v/>
      </c>
      <c r="G2063" s="3">
        <v>398.12</v>
      </c>
      <c r="H2063" t="str">
        <f t="shared" si="37"/>
        <v>MEDICARE TAXES</v>
      </c>
    </row>
    <row r="2064" spans="5:8" x14ac:dyDescent="0.25">
      <c r="E2064" t="str">
        <f>""</f>
        <v/>
      </c>
      <c r="F2064" t="str">
        <f>""</f>
        <v/>
      </c>
      <c r="G2064" s="3">
        <v>433.23</v>
      </c>
      <c r="H2064" t="str">
        <f t="shared" si="37"/>
        <v>MEDICARE TAXES</v>
      </c>
    </row>
    <row r="2065" spans="1:8" x14ac:dyDescent="0.25">
      <c r="E2065" t="str">
        <f>""</f>
        <v/>
      </c>
      <c r="F2065" t="str">
        <f>""</f>
        <v/>
      </c>
      <c r="G2065" s="3">
        <v>479.36</v>
      </c>
      <c r="H2065" t="str">
        <f t="shared" si="37"/>
        <v>MEDICARE TAXES</v>
      </c>
    </row>
    <row r="2066" spans="1:8" x14ac:dyDescent="0.25">
      <c r="E2066" t="str">
        <f>""</f>
        <v/>
      </c>
      <c r="F2066" t="str">
        <f>""</f>
        <v/>
      </c>
      <c r="G2066" s="3">
        <v>53.93</v>
      </c>
      <c r="H2066" t="str">
        <f t="shared" si="37"/>
        <v>MEDICARE TAXES</v>
      </c>
    </row>
    <row r="2067" spans="1:8" x14ac:dyDescent="0.25">
      <c r="E2067" t="str">
        <f>""</f>
        <v/>
      </c>
      <c r="F2067" t="str">
        <f>""</f>
        <v/>
      </c>
      <c r="G2067" s="3">
        <v>13.77</v>
      </c>
      <c r="H2067" t="str">
        <f t="shared" si="37"/>
        <v>MEDICARE TAXES</v>
      </c>
    </row>
    <row r="2068" spans="1:8" x14ac:dyDescent="0.25">
      <c r="E2068" t="str">
        <f>""</f>
        <v/>
      </c>
      <c r="F2068" t="str">
        <f>""</f>
        <v/>
      </c>
      <c r="G2068" s="3">
        <v>1.67</v>
      </c>
      <c r="H2068" t="str">
        <f t="shared" si="37"/>
        <v>MEDICARE TAXES</v>
      </c>
    </row>
    <row r="2069" spans="1:8" x14ac:dyDescent="0.25">
      <c r="E2069" t="str">
        <f>""</f>
        <v/>
      </c>
      <c r="F2069" t="str">
        <f>""</f>
        <v/>
      </c>
      <c r="G2069" s="3">
        <v>3.52</v>
      </c>
      <c r="H2069" t="str">
        <f t="shared" si="37"/>
        <v>MEDICARE TAXES</v>
      </c>
    </row>
    <row r="2070" spans="1:8" x14ac:dyDescent="0.25">
      <c r="E2070" t="str">
        <f>""</f>
        <v/>
      </c>
      <c r="F2070" t="str">
        <f>""</f>
        <v/>
      </c>
      <c r="G2070" s="3">
        <v>4.84</v>
      </c>
      <c r="H2070" t="str">
        <f t="shared" si="37"/>
        <v>MEDICARE TAXES</v>
      </c>
    </row>
    <row r="2071" spans="1:8" x14ac:dyDescent="0.25">
      <c r="E2071" t="str">
        <f>""</f>
        <v/>
      </c>
      <c r="F2071" t="str">
        <f>""</f>
        <v/>
      </c>
      <c r="G2071" s="3">
        <v>87.62</v>
      </c>
      <c r="H2071" t="str">
        <f t="shared" si="37"/>
        <v>MEDICARE TAXES</v>
      </c>
    </row>
    <row r="2072" spans="1:8" x14ac:dyDescent="0.25">
      <c r="E2072" t="str">
        <f>""</f>
        <v/>
      </c>
      <c r="F2072" t="str">
        <f>""</f>
        <v/>
      </c>
      <c r="G2072" s="3">
        <v>13993.36</v>
      </c>
      <c r="H2072" t="str">
        <f t="shared" si="37"/>
        <v>MEDICARE TAXES</v>
      </c>
    </row>
    <row r="2073" spans="1:8" x14ac:dyDescent="0.25">
      <c r="E2073" t="str">
        <f>"T4 202110136442"</f>
        <v>T4 202110136442</v>
      </c>
      <c r="F2073" t="str">
        <f>"MEDICARE TAXES"</f>
        <v>MEDICARE TAXES</v>
      </c>
      <c r="G2073" s="3">
        <v>469.31</v>
      </c>
      <c r="H2073" t="str">
        <f t="shared" si="37"/>
        <v>MEDICARE TAXES</v>
      </c>
    </row>
    <row r="2074" spans="1:8" x14ac:dyDescent="0.25">
      <c r="E2074" t="str">
        <f>""</f>
        <v/>
      </c>
      <c r="F2074" t="str">
        <f>""</f>
        <v/>
      </c>
      <c r="G2074" s="3">
        <v>469.31</v>
      </c>
      <c r="H2074" t="str">
        <f t="shared" si="37"/>
        <v>MEDICARE TAXES</v>
      </c>
    </row>
    <row r="2075" spans="1:8" x14ac:dyDescent="0.25">
      <c r="E2075" t="str">
        <f>"T4 202110136443"</f>
        <v>T4 202110136443</v>
      </c>
      <c r="F2075" t="str">
        <f>"MEDICARE TAXES"</f>
        <v>MEDICARE TAXES</v>
      </c>
      <c r="G2075" s="3">
        <v>546.72</v>
      </c>
      <c r="H2075" t="str">
        <f t="shared" si="37"/>
        <v>MEDICARE TAXES</v>
      </c>
    </row>
    <row r="2076" spans="1:8" x14ac:dyDescent="0.25">
      <c r="E2076" t="str">
        <f>""</f>
        <v/>
      </c>
      <c r="F2076" t="str">
        <f>""</f>
        <v/>
      </c>
      <c r="G2076" s="3">
        <v>546.72</v>
      </c>
      <c r="H2076" t="str">
        <f t="shared" si="37"/>
        <v>MEDICARE TAXES</v>
      </c>
    </row>
    <row r="2077" spans="1:8" x14ac:dyDescent="0.25">
      <c r="A2077" t="s">
        <v>453</v>
      </c>
      <c r="B2077">
        <v>1397</v>
      </c>
      <c r="C2077" s="3">
        <v>251976.84</v>
      </c>
      <c r="D2077" s="4">
        <v>44498</v>
      </c>
      <c r="E2077" t="str">
        <f>"T1 202110256651"</f>
        <v>T1 202110256651</v>
      </c>
      <c r="F2077" t="str">
        <f>"FEDERAL WITHHOLDING"</f>
        <v>FEDERAL WITHHOLDING</v>
      </c>
      <c r="G2077" s="3">
        <v>-79.53</v>
      </c>
      <c r="H2077" t="str">
        <f>"FEDERAL WITHHOLDING"</f>
        <v>FEDERAL WITHHOLDING</v>
      </c>
    </row>
    <row r="2078" spans="1:8" x14ac:dyDescent="0.25">
      <c r="E2078" t="str">
        <f>"T3 202110256651"</f>
        <v>T3 202110256651</v>
      </c>
      <c r="F2078" t="str">
        <f>"SOCIAL SECURITY TAXES"</f>
        <v>SOCIAL SECURITY TAXES</v>
      </c>
      <c r="G2078" s="3">
        <v>-44.17</v>
      </c>
      <c r="H2078" t="str">
        <f>"SOCIAL SECURITY TAXES"</f>
        <v>SOCIAL SECURITY TAXES</v>
      </c>
    </row>
    <row r="2079" spans="1:8" x14ac:dyDescent="0.25">
      <c r="E2079" t="str">
        <f>""</f>
        <v/>
      </c>
      <c r="F2079" t="str">
        <f>""</f>
        <v/>
      </c>
      <c r="G2079" s="3">
        <v>-44.17</v>
      </c>
      <c r="H2079" t="str">
        <f>"SOCIAL SECURITY TAXES"</f>
        <v>SOCIAL SECURITY TAXES</v>
      </c>
    </row>
    <row r="2080" spans="1:8" x14ac:dyDescent="0.25">
      <c r="E2080" t="str">
        <f>"T4 202110256651"</f>
        <v>T4 202110256651</v>
      </c>
      <c r="F2080" t="str">
        <f>"MEDICARE TAXES"</f>
        <v>MEDICARE TAXES</v>
      </c>
      <c r="G2080" s="3">
        <v>-10.33</v>
      </c>
      <c r="H2080" t="str">
        <f>"MEDICARE TAXES"</f>
        <v>MEDICARE TAXES</v>
      </c>
    </row>
    <row r="2081" spans="5:8" x14ac:dyDescent="0.25">
      <c r="E2081" t="str">
        <f>""</f>
        <v/>
      </c>
      <c r="F2081" t="str">
        <f>""</f>
        <v/>
      </c>
      <c r="G2081" s="3">
        <v>-10.33</v>
      </c>
      <c r="H2081" t="str">
        <f>"MEDICARE TAXES"</f>
        <v>MEDICARE TAXES</v>
      </c>
    </row>
    <row r="2082" spans="5:8" x14ac:dyDescent="0.25">
      <c r="E2082" t="str">
        <f>"T1 202110276652"</f>
        <v>T1 202110276652</v>
      </c>
      <c r="F2082" t="str">
        <f>"FEDERAL WITHHOLDING"</f>
        <v>FEDERAL WITHHOLDING</v>
      </c>
      <c r="G2082" s="3">
        <v>83538.58</v>
      </c>
      <c r="H2082" t="str">
        <f>"FEDERAL WITHHOLDING"</f>
        <v>FEDERAL WITHHOLDING</v>
      </c>
    </row>
    <row r="2083" spans="5:8" x14ac:dyDescent="0.25">
      <c r="E2083" t="str">
        <f>"T1 202110276653"</f>
        <v>T1 202110276653</v>
      </c>
      <c r="F2083" t="str">
        <f>"FEDERAL WITHHOLDING"</f>
        <v>FEDERAL WITHHOLDING</v>
      </c>
      <c r="G2083" s="3">
        <v>3308.31</v>
      </c>
      <c r="H2083" t="str">
        <f>"FEDERAL WITHHOLDING"</f>
        <v>FEDERAL WITHHOLDING</v>
      </c>
    </row>
    <row r="2084" spans="5:8" x14ac:dyDescent="0.25">
      <c r="E2084" t="str">
        <f>"T1 202110276654"</f>
        <v>T1 202110276654</v>
      </c>
      <c r="F2084" t="str">
        <f>"FEDERAL WITHHOLDING"</f>
        <v>FEDERAL WITHHOLDING</v>
      </c>
      <c r="G2084" s="3">
        <v>3344.76</v>
      </c>
      <c r="H2084" t="str">
        <f>"FEDERAL WITHHOLDING"</f>
        <v>FEDERAL WITHHOLDING</v>
      </c>
    </row>
    <row r="2085" spans="5:8" x14ac:dyDescent="0.25">
      <c r="E2085" t="str">
        <f>"T3 202110276652"</f>
        <v>T3 202110276652</v>
      </c>
      <c r="F2085" t="str">
        <f>"SOCIAL SECURITY TAXES"</f>
        <v>SOCIAL SECURITY TAXES</v>
      </c>
      <c r="G2085" s="3">
        <v>495.83</v>
      </c>
      <c r="H2085" t="str">
        <f t="shared" ref="H2085:H2140" si="38">"SOCIAL SECURITY TAXES"</f>
        <v>SOCIAL SECURITY TAXES</v>
      </c>
    </row>
    <row r="2086" spans="5:8" x14ac:dyDescent="0.25">
      <c r="E2086" t="str">
        <f>""</f>
        <v/>
      </c>
      <c r="F2086" t="str">
        <f>""</f>
        <v/>
      </c>
      <c r="G2086" s="3">
        <v>383.35</v>
      </c>
      <c r="H2086" t="str">
        <f t="shared" si="38"/>
        <v>SOCIAL SECURITY TAXES</v>
      </c>
    </row>
    <row r="2087" spans="5:8" x14ac:dyDescent="0.25">
      <c r="E2087" t="str">
        <f>""</f>
        <v/>
      </c>
      <c r="F2087" t="str">
        <f>""</f>
        <v/>
      </c>
      <c r="G2087" s="3">
        <v>1025.5999999999999</v>
      </c>
      <c r="H2087" t="str">
        <f t="shared" si="38"/>
        <v>SOCIAL SECURITY TAXES</v>
      </c>
    </row>
    <row r="2088" spans="5:8" x14ac:dyDescent="0.25">
      <c r="E2088" t="str">
        <f>""</f>
        <v/>
      </c>
      <c r="F2088" t="str">
        <f>""</f>
        <v/>
      </c>
      <c r="G2088" s="3">
        <v>392.99</v>
      </c>
      <c r="H2088" t="str">
        <f t="shared" si="38"/>
        <v>SOCIAL SECURITY TAXES</v>
      </c>
    </row>
    <row r="2089" spans="5:8" x14ac:dyDescent="0.25">
      <c r="E2089" t="str">
        <f>""</f>
        <v/>
      </c>
      <c r="F2089" t="str">
        <f>""</f>
        <v/>
      </c>
      <c r="G2089" s="3">
        <v>172.49</v>
      </c>
      <c r="H2089" t="str">
        <f t="shared" si="38"/>
        <v>SOCIAL SECURITY TAXES</v>
      </c>
    </row>
    <row r="2090" spans="5:8" x14ac:dyDescent="0.25">
      <c r="E2090" t="str">
        <f>""</f>
        <v/>
      </c>
      <c r="F2090" t="str">
        <f>""</f>
        <v/>
      </c>
      <c r="G2090" s="3">
        <v>812.56</v>
      </c>
      <c r="H2090" t="str">
        <f t="shared" si="38"/>
        <v>SOCIAL SECURITY TAXES</v>
      </c>
    </row>
    <row r="2091" spans="5:8" x14ac:dyDescent="0.25">
      <c r="E2091" t="str">
        <f>""</f>
        <v/>
      </c>
      <c r="F2091" t="str">
        <f>""</f>
        <v/>
      </c>
      <c r="G2091" s="3">
        <v>2799.16</v>
      </c>
      <c r="H2091" t="str">
        <f t="shared" si="38"/>
        <v>SOCIAL SECURITY TAXES</v>
      </c>
    </row>
    <row r="2092" spans="5:8" x14ac:dyDescent="0.25">
      <c r="E2092" t="str">
        <f>""</f>
        <v/>
      </c>
      <c r="F2092" t="str">
        <f>""</f>
        <v/>
      </c>
      <c r="G2092" s="3">
        <v>483.88</v>
      </c>
      <c r="H2092" t="str">
        <f t="shared" si="38"/>
        <v>SOCIAL SECURITY TAXES</v>
      </c>
    </row>
    <row r="2093" spans="5:8" x14ac:dyDescent="0.25">
      <c r="E2093" t="str">
        <f>""</f>
        <v/>
      </c>
      <c r="F2093" t="str">
        <f>""</f>
        <v/>
      </c>
      <c r="G2093" s="3">
        <v>873.61</v>
      </c>
      <c r="H2093" t="str">
        <f t="shared" si="38"/>
        <v>SOCIAL SECURITY TAXES</v>
      </c>
    </row>
    <row r="2094" spans="5:8" x14ac:dyDescent="0.25">
      <c r="E2094" t="str">
        <f>""</f>
        <v/>
      </c>
      <c r="F2094" t="str">
        <f>""</f>
        <v/>
      </c>
      <c r="G2094" s="3">
        <v>1614.05</v>
      </c>
      <c r="H2094" t="str">
        <f t="shared" si="38"/>
        <v>SOCIAL SECURITY TAXES</v>
      </c>
    </row>
    <row r="2095" spans="5:8" x14ac:dyDescent="0.25">
      <c r="E2095" t="str">
        <f>""</f>
        <v/>
      </c>
      <c r="F2095" t="str">
        <f>""</f>
        <v/>
      </c>
      <c r="G2095" s="3">
        <v>450.78</v>
      </c>
      <c r="H2095" t="str">
        <f t="shared" si="38"/>
        <v>SOCIAL SECURITY TAXES</v>
      </c>
    </row>
    <row r="2096" spans="5:8" x14ac:dyDescent="0.25">
      <c r="E2096" t="str">
        <f>""</f>
        <v/>
      </c>
      <c r="F2096" t="str">
        <f>""</f>
        <v/>
      </c>
      <c r="G2096" s="3">
        <v>466.85</v>
      </c>
      <c r="H2096" t="str">
        <f t="shared" si="38"/>
        <v>SOCIAL SECURITY TAXES</v>
      </c>
    </row>
    <row r="2097" spans="5:8" x14ac:dyDescent="0.25">
      <c r="E2097" t="str">
        <f>""</f>
        <v/>
      </c>
      <c r="F2097" t="str">
        <f>""</f>
        <v/>
      </c>
      <c r="G2097" s="3">
        <v>411.16</v>
      </c>
      <c r="H2097" t="str">
        <f t="shared" si="38"/>
        <v>SOCIAL SECURITY TAXES</v>
      </c>
    </row>
    <row r="2098" spans="5:8" x14ac:dyDescent="0.25">
      <c r="E2098" t="str">
        <f>""</f>
        <v/>
      </c>
      <c r="F2098" t="str">
        <f>""</f>
        <v/>
      </c>
      <c r="G2098" s="3">
        <v>413.48</v>
      </c>
      <c r="H2098" t="str">
        <f t="shared" si="38"/>
        <v>SOCIAL SECURITY TAXES</v>
      </c>
    </row>
    <row r="2099" spans="5:8" x14ac:dyDescent="0.25">
      <c r="E2099" t="str">
        <f>""</f>
        <v/>
      </c>
      <c r="F2099" t="str">
        <f>""</f>
        <v/>
      </c>
      <c r="G2099" s="3">
        <v>225.08</v>
      </c>
      <c r="H2099" t="str">
        <f t="shared" si="38"/>
        <v>SOCIAL SECURITY TAXES</v>
      </c>
    </row>
    <row r="2100" spans="5:8" x14ac:dyDescent="0.25">
      <c r="E2100" t="str">
        <f>""</f>
        <v/>
      </c>
      <c r="F2100" t="str">
        <f>""</f>
        <v/>
      </c>
      <c r="G2100" s="3">
        <v>2738.48</v>
      </c>
      <c r="H2100" t="str">
        <f t="shared" si="38"/>
        <v>SOCIAL SECURITY TAXES</v>
      </c>
    </row>
    <row r="2101" spans="5:8" x14ac:dyDescent="0.25">
      <c r="E2101" t="str">
        <f>""</f>
        <v/>
      </c>
      <c r="F2101" t="str">
        <f>""</f>
        <v/>
      </c>
      <c r="G2101" s="3">
        <v>1120.28</v>
      </c>
      <c r="H2101" t="str">
        <f t="shared" si="38"/>
        <v>SOCIAL SECURITY TAXES</v>
      </c>
    </row>
    <row r="2102" spans="5:8" x14ac:dyDescent="0.25">
      <c r="E2102" t="str">
        <f>""</f>
        <v/>
      </c>
      <c r="F2102" t="str">
        <f>""</f>
        <v/>
      </c>
      <c r="G2102" s="3">
        <v>539.99</v>
      </c>
      <c r="H2102" t="str">
        <f t="shared" si="38"/>
        <v>SOCIAL SECURITY TAXES</v>
      </c>
    </row>
    <row r="2103" spans="5:8" x14ac:dyDescent="0.25">
      <c r="E2103" t="str">
        <f>""</f>
        <v/>
      </c>
      <c r="F2103" t="str">
        <f>""</f>
        <v/>
      </c>
      <c r="G2103" s="3">
        <v>493.92</v>
      </c>
      <c r="H2103" t="str">
        <f t="shared" si="38"/>
        <v>SOCIAL SECURITY TAXES</v>
      </c>
    </row>
    <row r="2104" spans="5:8" x14ac:dyDescent="0.25">
      <c r="E2104" t="str">
        <f>""</f>
        <v/>
      </c>
      <c r="F2104" t="str">
        <f>""</f>
        <v/>
      </c>
      <c r="G2104" s="3">
        <v>1422.59</v>
      </c>
      <c r="H2104" t="str">
        <f t="shared" si="38"/>
        <v>SOCIAL SECURITY TAXES</v>
      </c>
    </row>
    <row r="2105" spans="5:8" x14ac:dyDescent="0.25">
      <c r="E2105" t="str">
        <f>""</f>
        <v/>
      </c>
      <c r="F2105" t="str">
        <f>""</f>
        <v/>
      </c>
      <c r="G2105" s="3">
        <v>770.03</v>
      </c>
      <c r="H2105" t="str">
        <f t="shared" si="38"/>
        <v>SOCIAL SECURITY TAXES</v>
      </c>
    </row>
    <row r="2106" spans="5:8" x14ac:dyDescent="0.25">
      <c r="E2106" t="str">
        <f>""</f>
        <v/>
      </c>
      <c r="F2106" t="str">
        <f>""</f>
        <v/>
      </c>
      <c r="G2106" s="3">
        <v>1815.54</v>
      </c>
      <c r="H2106" t="str">
        <f t="shared" si="38"/>
        <v>SOCIAL SECURITY TAXES</v>
      </c>
    </row>
    <row r="2107" spans="5:8" x14ac:dyDescent="0.25">
      <c r="E2107" t="str">
        <f>""</f>
        <v/>
      </c>
      <c r="F2107" t="str">
        <f>""</f>
        <v/>
      </c>
      <c r="G2107" s="3">
        <v>1284.81</v>
      </c>
      <c r="H2107" t="str">
        <f t="shared" si="38"/>
        <v>SOCIAL SECURITY TAXES</v>
      </c>
    </row>
    <row r="2108" spans="5:8" x14ac:dyDescent="0.25">
      <c r="E2108" t="str">
        <f>""</f>
        <v/>
      </c>
      <c r="F2108" t="str">
        <f>""</f>
        <v/>
      </c>
      <c r="G2108" s="3">
        <v>2614.59</v>
      </c>
      <c r="H2108" t="str">
        <f t="shared" si="38"/>
        <v>SOCIAL SECURITY TAXES</v>
      </c>
    </row>
    <row r="2109" spans="5:8" x14ac:dyDescent="0.25">
      <c r="E2109" t="str">
        <f>""</f>
        <v/>
      </c>
      <c r="F2109" t="str">
        <f>""</f>
        <v/>
      </c>
      <c r="G2109" s="3">
        <v>108.18</v>
      </c>
      <c r="H2109" t="str">
        <f t="shared" si="38"/>
        <v>SOCIAL SECURITY TAXES</v>
      </c>
    </row>
    <row r="2110" spans="5:8" x14ac:dyDescent="0.25">
      <c r="E2110" t="str">
        <f>""</f>
        <v/>
      </c>
      <c r="F2110" t="str">
        <f>""</f>
        <v/>
      </c>
      <c r="G2110" s="3">
        <v>108.18</v>
      </c>
      <c r="H2110" t="str">
        <f t="shared" si="38"/>
        <v>SOCIAL SECURITY TAXES</v>
      </c>
    </row>
    <row r="2111" spans="5:8" x14ac:dyDescent="0.25">
      <c r="E2111" t="str">
        <f>""</f>
        <v/>
      </c>
      <c r="F2111" t="str">
        <f>""</f>
        <v/>
      </c>
      <c r="G2111" s="3">
        <v>108.18</v>
      </c>
      <c r="H2111" t="str">
        <f t="shared" si="38"/>
        <v>SOCIAL SECURITY TAXES</v>
      </c>
    </row>
    <row r="2112" spans="5:8" x14ac:dyDescent="0.25">
      <c r="E2112" t="str">
        <f>""</f>
        <v/>
      </c>
      <c r="F2112" t="str">
        <f>""</f>
        <v/>
      </c>
      <c r="G2112" s="3">
        <v>108.18</v>
      </c>
      <c r="H2112" t="str">
        <f t="shared" si="38"/>
        <v>SOCIAL SECURITY TAXES</v>
      </c>
    </row>
    <row r="2113" spans="5:8" x14ac:dyDescent="0.25">
      <c r="E2113" t="str">
        <f>""</f>
        <v/>
      </c>
      <c r="F2113" t="str">
        <f>""</f>
        <v/>
      </c>
      <c r="G2113" s="3">
        <v>13117.2</v>
      </c>
      <c r="H2113" t="str">
        <f t="shared" si="38"/>
        <v>SOCIAL SECURITY TAXES</v>
      </c>
    </row>
    <row r="2114" spans="5:8" x14ac:dyDescent="0.25">
      <c r="E2114" t="str">
        <f>""</f>
        <v/>
      </c>
      <c r="F2114" t="str">
        <f>""</f>
        <v/>
      </c>
      <c r="G2114" s="3">
        <v>535.42999999999995</v>
      </c>
      <c r="H2114" t="str">
        <f t="shared" si="38"/>
        <v>SOCIAL SECURITY TAXES</v>
      </c>
    </row>
    <row r="2115" spans="5:8" x14ac:dyDescent="0.25">
      <c r="E2115" t="str">
        <f>""</f>
        <v/>
      </c>
      <c r="F2115" t="str">
        <f>""</f>
        <v/>
      </c>
      <c r="G2115" s="3">
        <v>10943.82</v>
      </c>
      <c r="H2115" t="str">
        <f t="shared" si="38"/>
        <v>SOCIAL SECURITY TAXES</v>
      </c>
    </row>
    <row r="2116" spans="5:8" x14ac:dyDescent="0.25">
      <c r="E2116" t="str">
        <f>""</f>
        <v/>
      </c>
      <c r="F2116" t="str">
        <f>""</f>
        <v/>
      </c>
      <c r="G2116" s="3">
        <v>1826.92</v>
      </c>
      <c r="H2116" t="str">
        <f t="shared" si="38"/>
        <v>SOCIAL SECURITY TAXES</v>
      </c>
    </row>
    <row r="2117" spans="5:8" x14ac:dyDescent="0.25">
      <c r="E2117" t="str">
        <f>""</f>
        <v/>
      </c>
      <c r="F2117" t="str">
        <f>""</f>
        <v/>
      </c>
      <c r="G2117" s="3">
        <v>125.39</v>
      </c>
      <c r="H2117" t="str">
        <f t="shared" si="38"/>
        <v>SOCIAL SECURITY TAXES</v>
      </c>
    </row>
    <row r="2118" spans="5:8" x14ac:dyDescent="0.25">
      <c r="E2118" t="str">
        <f>""</f>
        <v/>
      </c>
      <c r="F2118" t="str">
        <f>""</f>
        <v/>
      </c>
      <c r="G2118" s="3">
        <v>494.77</v>
      </c>
      <c r="H2118" t="str">
        <f t="shared" si="38"/>
        <v>SOCIAL SECURITY TAXES</v>
      </c>
    </row>
    <row r="2119" spans="5:8" x14ac:dyDescent="0.25">
      <c r="E2119" t="str">
        <f>""</f>
        <v/>
      </c>
      <c r="F2119" t="str">
        <f>""</f>
        <v/>
      </c>
      <c r="G2119" s="3">
        <v>28.89</v>
      </c>
      <c r="H2119" t="str">
        <f t="shared" si="38"/>
        <v>SOCIAL SECURITY TAXES</v>
      </c>
    </row>
    <row r="2120" spans="5:8" x14ac:dyDescent="0.25">
      <c r="E2120" t="str">
        <f>""</f>
        <v/>
      </c>
      <c r="F2120" t="str">
        <f>""</f>
        <v/>
      </c>
      <c r="G2120" s="3">
        <v>259.08</v>
      </c>
      <c r="H2120" t="str">
        <f t="shared" si="38"/>
        <v>SOCIAL SECURITY TAXES</v>
      </c>
    </row>
    <row r="2121" spans="5:8" x14ac:dyDescent="0.25">
      <c r="E2121" t="str">
        <f>""</f>
        <v/>
      </c>
      <c r="F2121" t="str">
        <f>""</f>
        <v/>
      </c>
      <c r="G2121" s="3">
        <v>94.64</v>
      </c>
      <c r="H2121" t="str">
        <f t="shared" si="38"/>
        <v>SOCIAL SECURITY TAXES</v>
      </c>
    </row>
    <row r="2122" spans="5:8" x14ac:dyDescent="0.25">
      <c r="E2122" t="str">
        <f>""</f>
        <v/>
      </c>
      <c r="F2122" t="str">
        <f>""</f>
        <v/>
      </c>
      <c r="G2122" s="3">
        <v>600.91</v>
      </c>
      <c r="H2122" t="str">
        <f t="shared" si="38"/>
        <v>SOCIAL SECURITY TAXES</v>
      </c>
    </row>
    <row r="2123" spans="5:8" x14ac:dyDescent="0.25">
      <c r="E2123" t="str">
        <f>""</f>
        <v/>
      </c>
      <c r="F2123" t="str">
        <f>""</f>
        <v/>
      </c>
      <c r="G2123" s="3">
        <v>308.45999999999998</v>
      </c>
      <c r="H2123" t="str">
        <f t="shared" si="38"/>
        <v>SOCIAL SECURITY TAXES</v>
      </c>
    </row>
    <row r="2124" spans="5:8" x14ac:dyDescent="0.25">
      <c r="E2124" t="str">
        <f>""</f>
        <v/>
      </c>
      <c r="F2124" t="str">
        <f>""</f>
        <v/>
      </c>
      <c r="G2124" s="3">
        <v>120.87</v>
      </c>
      <c r="H2124" t="str">
        <f t="shared" si="38"/>
        <v>SOCIAL SECURITY TAXES</v>
      </c>
    </row>
    <row r="2125" spans="5:8" x14ac:dyDescent="0.25">
      <c r="E2125" t="str">
        <f>""</f>
        <v/>
      </c>
      <c r="F2125" t="str">
        <f>""</f>
        <v/>
      </c>
      <c r="G2125" s="3">
        <v>1506.13</v>
      </c>
      <c r="H2125" t="str">
        <f t="shared" si="38"/>
        <v>SOCIAL SECURITY TAXES</v>
      </c>
    </row>
    <row r="2126" spans="5:8" x14ac:dyDescent="0.25">
      <c r="E2126" t="str">
        <f>""</f>
        <v/>
      </c>
      <c r="F2126" t="str">
        <f>""</f>
        <v/>
      </c>
      <c r="G2126" s="3">
        <v>1757.28</v>
      </c>
      <c r="H2126" t="str">
        <f t="shared" si="38"/>
        <v>SOCIAL SECURITY TAXES</v>
      </c>
    </row>
    <row r="2127" spans="5:8" x14ac:dyDescent="0.25">
      <c r="E2127" t="str">
        <f>""</f>
        <v/>
      </c>
      <c r="F2127" t="str">
        <f>""</f>
        <v/>
      </c>
      <c r="G2127" s="3">
        <v>1753.36</v>
      </c>
      <c r="H2127" t="str">
        <f t="shared" si="38"/>
        <v>SOCIAL SECURITY TAXES</v>
      </c>
    </row>
    <row r="2128" spans="5:8" x14ac:dyDescent="0.25">
      <c r="E2128" t="str">
        <f>""</f>
        <v/>
      </c>
      <c r="F2128" t="str">
        <f>""</f>
        <v/>
      </c>
      <c r="G2128" s="3">
        <v>2119.04</v>
      </c>
      <c r="H2128" t="str">
        <f t="shared" si="38"/>
        <v>SOCIAL SECURITY TAXES</v>
      </c>
    </row>
    <row r="2129" spans="5:8" x14ac:dyDescent="0.25">
      <c r="E2129" t="str">
        <f>""</f>
        <v/>
      </c>
      <c r="F2129" t="str">
        <f>""</f>
        <v/>
      </c>
      <c r="G2129" s="3">
        <v>207.88</v>
      </c>
      <c r="H2129" t="str">
        <f t="shared" si="38"/>
        <v>SOCIAL SECURITY TAXES</v>
      </c>
    </row>
    <row r="2130" spans="5:8" x14ac:dyDescent="0.25">
      <c r="E2130" t="str">
        <f>""</f>
        <v/>
      </c>
      <c r="F2130" t="str">
        <f>""</f>
        <v/>
      </c>
      <c r="G2130" s="3">
        <v>453.96</v>
      </c>
      <c r="H2130" t="str">
        <f t="shared" si="38"/>
        <v>SOCIAL SECURITY TAXES</v>
      </c>
    </row>
    <row r="2131" spans="5:8" x14ac:dyDescent="0.25">
      <c r="E2131" t="str">
        <f>""</f>
        <v/>
      </c>
      <c r="F2131" t="str">
        <f>""</f>
        <v/>
      </c>
      <c r="G2131" s="3">
        <v>14.9</v>
      </c>
      <c r="H2131" t="str">
        <f t="shared" si="38"/>
        <v>SOCIAL SECURITY TAXES</v>
      </c>
    </row>
    <row r="2132" spans="5:8" x14ac:dyDescent="0.25">
      <c r="E2132" t="str">
        <f>""</f>
        <v/>
      </c>
      <c r="F2132" t="str">
        <f>""</f>
        <v/>
      </c>
      <c r="G2132" s="3">
        <v>7.36</v>
      </c>
      <c r="H2132" t="str">
        <f t="shared" si="38"/>
        <v>SOCIAL SECURITY TAXES</v>
      </c>
    </row>
    <row r="2133" spans="5:8" x14ac:dyDescent="0.25">
      <c r="E2133" t="str">
        <f>""</f>
        <v/>
      </c>
      <c r="F2133" t="str">
        <f>""</f>
        <v/>
      </c>
      <c r="G2133" s="3">
        <v>15.47</v>
      </c>
      <c r="H2133" t="str">
        <f t="shared" si="38"/>
        <v>SOCIAL SECURITY TAXES</v>
      </c>
    </row>
    <row r="2134" spans="5:8" x14ac:dyDescent="0.25">
      <c r="E2134" t="str">
        <f>""</f>
        <v/>
      </c>
      <c r="F2134" t="str">
        <f>""</f>
        <v/>
      </c>
      <c r="G2134" s="3">
        <v>22.48</v>
      </c>
      <c r="H2134" t="str">
        <f t="shared" si="38"/>
        <v>SOCIAL SECURITY TAXES</v>
      </c>
    </row>
    <row r="2135" spans="5:8" x14ac:dyDescent="0.25">
      <c r="E2135" t="str">
        <f>""</f>
        <v/>
      </c>
      <c r="F2135" t="str">
        <f>""</f>
        <v/>
      </c>
      <c r="G2135" s="3">
        <v>376.03</v>
      </c>
      <c r="H2135" t="str">
        <f t="shared" si="38"/>
        <v>SOCIAL SECURITY TAXES</v>
      </c>
    </row>
    <row r="2136" spans="5:8" x14ac:dyDescent="0.25">
      <c r="E2136" t="str">
        <f>""</f>
        <v/>
      </c>
      <c r="F2136" t="str">
        <f>""</f>
        <v/>
      </c>
      <c r="G2136" s="3">
        <v>60944.09</v>
      </c>
      <c r="H2136" t="str">
        <f t="shared" si="38"/>
        <v>SOCIAL SECURITY TAXES</v>
      </c>
    </row>
    <row r="2137" spans="5:8" x14ac:dyDescent="0.25">
      <c r="E2137" t="str">
        <f>"T3 202110276653"</f>
        <v>T3 202110276653</v>
      </c>
      <c r="F2137" t="str">
        <f>"SOCIAL SECURITY TAXES"</f>
        <v>SOCIAL SECURITY TAXES</v>
      </c>
      <c r="G2137" s="3">
        <v>2178.0700000000002</v>
      </c>
      <c r="H2137" t="str">
        <f t="shared" si="38"/>
        <v>SOCIAL SECURITY TAXES</v>
      </c>
    </row>
    <row r="2138" spans="5:8" x14ac:dyDescent="0.25">
      <c r="E2138" t="str">
        <f>""</f>
        <v/>
      </c>
      <c r="F2138" t="str">
        <f>""</f>
        <v/>
      </c>
      <c r="G2138" s="3">
        <v>2178.0700000000002</v>
      </c>
      <c r="H2138" t="str">
        <f t="shared" si="38"/>
        <v>SOCIAL SECURITY TAXES</v>
      </c>
    </row>
    <row r="2139" spans="5:8" x14ac:dyDescent="0.25">
      <c r="E2139" t="str">
        <f>"T3 202110276654"</f>
        <v>T3 202110276654</v>
      </c>
      <c r="F2139" t="str">
        <f>"SOCIAL SECURITY TAXES"</f>
        <v>SOCIAL SECURITY TAXES</v>
      </c>
      <c r="G2139" s="3">
        <v>2438.5500000000002</v>
      </c>
      <c r="H2139" t="str">
        <f t="shared" si="38"/>
        <v>SOCIAL SECURITY TAXES</v>
      </c>
    </row>
    <row r="2140" spans="5:8" x14ac:dyDescent="0.25">
      <c r="E2140" t="str">
        <f>""</f>
        <v/>
      </c>
      <c r="F2140" t="str">
        <f>""</f>
        <v/>
      </c>
      <c r="G2140" s="3">
        <v>2438.5500000000002</v>
      </c>
      <c r="H2140" t="str">
        <f t="shared" si="38"/>
        <v>SOCIAL SECURITY TAXES</v>
      </c>
    </row>
    <row r="2141" spans="5:8" x14ac:dyDescent="0.25">
      <c r="E2141" t="str">
        <f>"T4 202110276652"</f>
        <v>T4 202110276652</v>
      </c>
      <c r="F2141" t="str">
        <f>"MEDICARE TAXES"</f>
        <v>MEDICARE TAXES</v>
      </c>
      <c r="G2141" s="3">
        <v>115.95</v>
      </c>
      <c r="H2141" t="str">
        <f t="shared" ref="H2141:H2196" si="39">"MEDICARE TAXES"</f>
        <v>MEDICARE TAXES</v>
      </c>
    </row>
    <row r="2142" spans="5:8" x14ac:dyDescent="0.25">
      <c r="E2142" t="str">
        <f>""</f>
        <v/>
      </c>
      <c r="F2142" t="str">
        <f>""</f>
        <v/>
      </c>
      <c r="G2142" s="3">
        <v>89.67</v>
      </c>
      <c r="H2142" t="str">
        <f t="shared" si="39"/>
        <v>MEDICARE TAXES</v>
      </c>
    </row>
    <row r="2143" spans="5:8" x14ac:dyDescent="0.25">
      <c r="E2143" t="str">
        <f>""</f>
        <v/>
      </c>
      <c r="F2143" t="str">
        <f>""</f>
        <v/>
      </c>
      <c r="G2143" s="3">
        <v>239.86</v>
      </c>
      <c r="H2143" t="str">
        <f t="shared" si="39"/>
        <v>MEDICARE TAXES</v>
      </c>
    </row>
    <row r="2144" spans="5:8" x14ac:dyDescent="0.25">
      <c r="E2144" t="str">
        <f>""</f>
        <v/>
      </c>
      <c r="F2144" t="str">
        <f>""</f>
        <v/>
      </c>
      <c r="G2144" s="3">
        <v>91.91</v>
      </c>
      <c r="H2144" t="str">
        <f t="shared" si="39"/>
        <v>MEDICARE TAXES</v>
      </c>
    </row>
    <row r="2145" spans="5:8" x14ac:dyDescent="0.25">
      <c r="E2145" t="str">
        <f>""</f>
        <v/>
      </c>
      <c r="F2145" t="str">
        <f>""</f>
        <v/>
      </c>
      <c r="G2145" s="3">
        <v>40.340000000000003</v>
      </c>
      <c r="H2145" t="str">
        <f t="shared" si="39"/>
        <v>MEDICARE TAXES</v>
      </c>
    </row>
    <row r="2146" spans="5:8" x14ac:dyDescent="0.25">
      <c r="E2146" t="str">
        <f>""</f>
        <v/>
      </c>
      <c r="F2146" t="str">
        <f>""</f>
        <v/>
      </c>
      <c r="G2146" s="3">
        <v>190.05</v>
      </c>
      <c r="H2146" t="str">
        <f t="shared" si="39"/>
        <v>MEDICARE TAXES</v>
      </c>
    </row>
    <row r="2147" spans="5:8" x14ac:dyDescent="0.25">
      <c r="E2147" t="str">
        <f>""</f>
        <v/>
      </c>
      <c r="F2147" t="str">
        <f>""</f>
        <v/>
      </c>
      <c r="G2147" s="3">
        <v>654.62</v>
      </c>
      <c r="H2147" t="str">
        <f t="shared" si="39"/>
        <v>MEDICARE TAXES</v>
      </c>
    </row>
    <row r="2148" spans="5:8" x14ac:dyDescent="0.25">
      <c r="E2148" t="str">
        <f>""</f>
        <v/>
      </c>
      <c r="F2148" t="str">
        <f>""</f>
        <v/>
      </c>
      <c r="G2148" s="3">
        <v>206.61</v>
      </c>
      <c r="H2148" t="str">
        <f t="shared" si="39"/>
        <v>MEDICARE TAXES</v>
      </c>
    </row>
    <row r="2149" spans="5:8" x14ac:dyDescent="0.25">
      <c r="E2149" t="str">
        <f>""</f>
        <v/>
      </c>
      <c r="F2149" t="str">
        <f>""</f>
        <v/>
      </c>
      <c r="G2149" s="3">
        <v>204.31</v>
      </c>
      <c r="H2149" t="str">
        <f t="shared" si="39"/>
        <v>MEDICARE TAXES</v>
      </c>
    </row>
    <row r="2150" spans="5:8" x14ac:dyDescent="0.25">
      <c r="E2150" t="str">
        <f>""</f>
        <v/>
      </c>
      <c r="F2150" t="str">
        <f>""</f>
        <v/>
      </c>
      <c r="G2150" s="3">
        <v>377.48</v>
      </c>
      <c r="H2150" t="str">
        <f t="shared" si="39"/>
        <v>MEDICARE TAXES</v>
      </c>
    </row>
    <row r="2151" spans="5:8" x14ac:dyDescent="0.25">
      <c r="E2151" t="str">
        <f>""</f>
        <v/>
      </c>
      <c r="F2151" t="str">
        <f>""</f>
        <v/>
      </c>
      <c r="G2151" s="3">
        <v>105.42</v>
      </c>
      <c r="H2151" t="str">
        <f t="shared" si="39"/>
        <v>MEDICARE TAXES</v>
      </c>
    </row>
    <row r="2152" spans="5:8" x14ac:dyDescent="0.25">
      <c r="E2152" t="str">
        <f>""</f>
        <v/>
      </c>
      <c r="F2152" t="str">
        <f>""</f>
        <v/>
      </c>
      <c r="G2152" s="3">
        <v>109.19</v>
      </c>
      <c r="H2152" t="str">
        <f t="shared" si="39"/>
        <v>MEDICARE TAXES</v>
      </c>
    </row>
    <row r="2153" spans="5:8" x14ac:dyDescent="0.25">
      <c r="E2153" t="str">
        <f>""</f>
        <v/>
      </c>
      <c r="F2153" t="str">
        <f>""</f>
        <v/>
      </c>
      <c r="G2153" s="3">
        <v>96.16</v>
      </c>
      <c r="H2153" t="str">
        <f t="shared" si="39"/>
        <v>MEDICARE TAXES</v>
      </c>
    </row>
    <row r="2154" spans="5:8" x14ac:dyDescent="0.25">
      <c r="E2154" t="str">
        <f>""</f>
        <v/>
      </c>
      <c r="F2154" t="str">
        <f>""</f>
        <v/>
      </c>
      <c r="G2154" s="3">
        <v>96.7</v>
      </c>
      <c r="H2154" t="str">
        <f t="shared" si="39"/>
        <v>MEDICARE TAXES</v>
      </c>
    </row>
    <row r="2155" spans="5:8" x14ac:dyDescent="0.25">
      <c r="E2155" t="str">
        <f>""</f>
        <v/>
      </c>
      <c r="F2155" t="str">
        <f>""</f>
        <v/>
      </c>
      <c r="G2155" s="3">
        <v>52.64</v>
      </c>
      <c r="H2155" t="str">
        <f t="shared" si="39"/>
        <v>MEDICARE TAXES</v>
      </c>
    </row>
    <row r="2156" spans="5:8" x14ac:dyDescent="0.25">
      <c r="E2156" t="str">
        <f>""</f>
        <v/>
      </c>
      <c r="F2156" t="str">
        <f>""</f>
        <v/>
      </c>
      <c r="G2156" s="3">
        <v>640.45000000000005</v>
      </c>
      <c r="H2156" t="str">
        <f t="shared" si="39"/>
        <v>MEDICARE TAXES</v>
      </c>
    </row>
    <row r="2157" spans="5:8" x14ac:dyDescent="0.25">
      <c r="E2157" t="str">
        <f>""</f>
        <v/>
      </c>
      <c r="F2157" t="str">
        <f>""</f>
        <v/>
      </c>
      <c r="G2157" s="3">
        <v>262.01</v>
      </c>
      <c r="H2157" t="str">
        <f t="shared" si="39"/>
        <v>MEDICARE TAXES</v>
      </c>
    </row>
    <row r="2158" spans="5:8" x14ac:dyDescent="0.25">
      <c r="E2158" t="str">
        <f>""</f>
        <v/>
      </c>
      <c r="F2158" t="str">
        <f>""</f>
        <v/>
      </c>
      <c r="G2158" s="3">
        <v>126.29</v>
      </c>
      <c r="H2158" t="str">
        <f t="shared" si="39"/>
        <v>MEDICARE TAXES</v>
      </c>
    </row>
    <row r="2159" spans="5:8" x14ac:dyDescent="0.25">
      <c r="E2159" t="str">
        <f>""</f>
        <v/>
      </c>
      <c r="F2159" t="str">
        <f>""</f>
        <v/>
      </c>
      <c r="G2159" s="3">
        <v>115.5</v>
      </c>
      <c r="H2159" t="str">
        <f t="shared" si="39"/>
        <v>MEDICARE TAXES</v>
      </c>
    </row>
    <row r="2160" spans="5:8" x14ac:dyDescent="0.25">
      <c r="E2160" t="str">
        <f>""</f>
        <v/>
      </c>
      <c r="F2160" t="str">
        <f>""</f>
        <v/>
      </c>
      <c r="G2160" s="3">
        <v>332.7</v>
      </c>
      <c r="H2160" t="str">
        <f t="shared" si="39"/>
        <v>MEDICARE TAXES</v>
      </c>
    </row>
    <row r="2161" spans="5:8" x14ac:dyDescent="0.25">
      <c r="E2161" t="str">
        <f>""</f>
        <v/>
      </c>
      <c r="F2161" t="str">
        <f>""</f>
        <v/>
      </c>
      <c r="G2161" s="3">
        <v>180.08</v>
      </c>
      <c r="H2161" t="str">
        <f t="shared" si="39"/>
        <v>MEDICARE TAXES</v>
      </c>
    </row>
    <row r="2162" spans="5:8" x14ac:dyDescent="0.25">
      <c r="E2162" t="str">
        <f>""</f>
        <v/>
      </c>
      <c r="F2162" t="str">
        <f>""</f>
        <v/>
      </c>
      <c r="G2162" s="3">
        <v>424.6</v>
      </c>
      <c r="H2162" t="str">
        <f t="shared" si="39"/>
        <v>MEDICARE TAXES</v>
      </c>
    </row>
    <row r="2163" spans="5:8" x14ac:dyDescent="0.25">
      <c r="E2163" t="str">
        <f>""</f>
        <v/>
      </c>
      <c r="F2163" t="str">
        <f>""</f>
        <v/>
      </c>
      <c r="G2163" s="3">
        <v>300.48</v>
      </c>
      <c r="H2163" t="str">
        <f t="shared" si="39"/>
        <v>MEDICARE TAXES</v>
      </c>
    </row>
    <row r="2164" spans="5:8" x14ac:dyDescent="0.25">
      <c r="E2164" t="str">
        <f>""</f>
        <v/>
      </c>
      <c r="F2164" t="str">
        <f>""</f>
        <v/>
      </c>
      <c r="G2164" s="3">
        <v>611.46</v>
      </c>
      <c r="H2164" t="str">
        <f t="shared" si="39"/>
        <v>MEDICARE TAXES</v>
      </c>
    </row>
    <row r="2165" spans="5:8" x14ac:dyDescent="0.25">
      <c r="E2165" t="str">
        <f>""</f>
        <v/>
      </c>
      <c r="F2165" t="str">
        <f>""</f>
        <v/>
      </c>
      <c r="G2165" s="3">
        <v>25.3</v>
      </c>
      <c r="H2165" t="str">
        <f t="shared" si="39"/>
        <v>MEDICARE TAXES</v>
      </c>
    </row>
    <row r="2166" spans="5:8" x14ac:dyDescent="0.25">
      <c r="E2166" t="str">
        <f>""</f>
        <v/>
      </c>
      <c r="F2166" t="str">
        <f>""</f>
        <v/>
      </c>
      <c r="G2166" s="3">
        <v>25.3</v>
      </c>
      <c r="H2166" t="str">
        <f t="shared" si="39"/>
        <v>MEDICARE TAXES</v>
      </c>
    </row>
    <row r="2167" spans="5:8" x14ac:dyDescent="0.25">
      <c r="E2167" t="str">
        <f>""</f>
        <v/>
      </c>
      <c r="F2167" t="str">
        <f>""</f>
        <v/>
      </c>
      <c r="G2167" s="3">
        <v>25.3</v>
      </c>
      <c r="H2167" t="str">
        <f t="shared" si="39"/>
        <v>MEDICARE TAXES</v>
      </c>
    </row>
    <row r="2168" spans="5:8" x14ac:dyDescent="0.25">
      <c r="E2168" t="str">
        <f>""</f>
        <v/>
      </c>
      <c r="F2168" t="str">
        <f>""</f>
        <v/>
      </c>
      <c r="G2168" s="3">
        <v>25.3</v>
      </c>
      <c r="H2168" t="str">
        <f t="shared" si="39"/>
        <v>MEDICARE TAXES</v>
      </c>
    </row>
    <row r="2169" spans="5:8" x14ac:dyDescent="0.25">
      <c r="E2169" t="str">
        <f>""</f>
        <v/>
      </c>
      <c r="F2169" t="str">
        <f>""</f>
        <v/>
      </c>
      <c r="G2169" s="3">
        <v>3067.71</v>
      </c>
      <c r="H2169" t="str">
        <f t="shared" si="39"/>
        <v>MEDICARE TAXES</v>
      </c>
    </row>
    <row r="2170" spans="5:8" x14ac:dyDescent="0.25">
      <c r="E2170" t="str">
        <f>""</f>
        <v/>
      </c>
      <c r="F2170" t="str">
        <f>""</f>
        <v/>
      </c>
      <c r="G2170" s="3">
        <v>125.22</v>
      </c>
      <c r="H2170" t="str">
        <f t="shared" si="39"/>
        <v>MEDICARE TAXES</v>
      </c>
    </row>
    <row r="2171" spans="5:8" x14ac:dyDescent="0.25">
      <c r="E2171" t="str">
        <f>""</f>
        <v/>
      </c>
      <c r="F2171" t="str">
        <f>""</f>
        <v/>
      </c>
      <c r="G2171" s="3">
        <v>2559.46</v>
      </c>
      <c r="H2171" t="str">
        <f t="shared" si="39"/>
        <v>MEDICARE TAXES</v>
      </c>
    </row>
    <row r="2172" spans="5:8" x14ac:dyDescent="0.25">
      <c r="E2172" t="str">
        <f>""</f>
        <v/>
      </c>
      <c r="F2172" t="str">
        <f>""</f>
        <v/>
      </c>
      <c r="G2172" s="3">
        <v>427.26</v>
      </c>
      <c r="H2172" t="str">
        <f t="shared" si="39"/>
        <v>MEDICARE TAXES</v>
      </c>
    </row>
    <row r="2173" spans="5:8" x14ac:dyDescent="0.25">
      <c r="E2173" t="str">
        <f>""</f>
        <v/>
      </c>
      <c r="F2173" t="str">
        <f>""</f>
        <v/>
      </c>
      <c r="G2173" s="3">
        <v>29.32</v>
      </c>
      <c r="H2173" t="str">
        <f t="shared" si="39"/>
        <v>MEDICARE TAXES</v>
      </c>
    </row>
    <row r="2174" spans="5:8" x14ac:dyDescent="0.25">
      <c r="E2174" t="str">
        <f>""</f>
        <v/>
      </c>
      <c r="F2174" t="str">
        <f>""</f>
        <v/>
      </c>
      <c r="G2174" s="3">
        <v>115.7</v>
      </c>
      <c r="H2174" t="str">
        <f t="shared" si="39"/>
        <v>MEDICARE TAXES</v>
      </c>
    </row>
    <row r="2175" spans="5:8" x14ac:dyDescent="0.25">
      <c r="E2175" t="str">
        <f>""</f>
        <v/>
      </c>
      <c r="F2175" t="str">
        <f>""</f>
        <v/>
      </c>
      <c r="G2175" s="3">
        <v>6.76</v>
      </c>
      <c r="H2175" t="str">
        <f t="shared" si="39"/>
        <v>MEDICARE TAXES</v>
      </c>
    </row>
    <row r="2176" spans="5:8" x14ac:dyDescent="0.25">
      <c r="E2176" t="str">
        <f>""</f>
        <v/>
      </c>
      <c r="F2176" t="str">
        <f>""</f>
        <v/>
      </c>
      <c r="G2176" s="3">
        <v>60.6</v>
      </c>
      <c r="H2176" t="str">
        <f t="shared" si="39"/>
        <v>MEDICARE TAXES</v>
      </c>
    </row>
    <row r="2177" spans="5:8" x14ac:dyDescent="0.25">
      <c r="E2177" t="str">
        <f>""</f>
        <v/>
      </c>
      <c r="F2177" t="str">
        <f>""</f>
        <v/>
      </c>
      <c r="G2177" s="3">
        <v>22.13</v>
      </c>
      <c r="H2177" t="str">
        <f t="shared" si="39"/>
        <v>MEDICARE TAXES</v>
      </c>
    </row>
    <row r="2178" spans="5:8" x14ac:dyDescent="0.25">
      <c r="E2178" t="str">
        <f>""</f>
        <v/>
      </c>
      <c r="F2178" t="str">
        <f>""</f>
        <v/>
      </c>
      <c r="G2178" s="3">
        <v>140.54</v>
      </c>
      <c r="H2178" t="str">
        <f t="shared" si="39"/>
        <v>MEDICARE TAXES</v>
      </c>
    </row>
    <row r="2179" spans="5:8" x14ac:dyDescent="0.25">
      <c r="E2179" t="str">
        <f>""</f>
        <v/>
      </c>
      <c r="F2179" t="str">
        <f>""</f>
        <v/>
      </c>
      <c r="G2179" s="3">
        <v>72.150000000000006</v>
      </c>
      <c r="H2179" t="str">
        <f t="shared" si="39"/>
        <v>MEDICARE TAXES</v>
      </c>
    </row>
    <row r="2180" spans="5:8" x14ac:dyDescent="0.25">
      <c r="E2180" t="str">
        <f>""</f>
        <v/>
      </c>
      <c r="F2180" t="str">
        <f>""</f>
        <v/>
      </c>
      <c r="G2180" s="3">
        <v>28.27</v>
      </c>
      <c r="H2180" t="str">
        <f t="shared" si="39"/>
        <v>MEDICARE TAXES</v>
      </c>
    </row>
    <row r="2181" spans="5:8" x14ac:dyDescent="0.25">
      <c r="E2181" t="str">
        <f>""</f>
        <v/>
      </c>
      <c r="F2181" t="str">
        <f>""</f>
        <v/>
      </c>
      <c r="G2181" s="3">
        <v>352.22</v>
      </c>
      <c r="H2181" t="str">
        <f t="shared" si="39"/>
        <v>MEDICARE TAXES</v>
      </c>
    </row>
    <row r="2182" spans="5:8" x14ac:dyDescent="0.25">
      <c r="E2182" t="str">
        <f>""</f>
        <v/>
      </c>
      <c r="F2182" t="str">
        <f>""</f>
        <v/>
      </c>
      <c r="G2182" s="3">
        <v>410.98</v>
      </c>
      <c r="H2182" t="str">
        <f t="shared" si="39"/>
        <v>MEDICARE TAXES</v>
      </c>
    </row>
    <row r="2183" spans="5:8" x14ac:dyDescent="0.25">
      <c r="E2183" t="str">
        <f>""</f>
        <v/>
      </c>
      <c r="F2183" t="str">
        <f>""</f>
        <v/>
      </c>
      <c r="G2183" s="3">
        <v>410.08</v>
      </c>
      <c r="H2183" t="str">
        <f t="shared" si="39"/>
        <v>MEDICARE TAXES</v>
      </c>
    </row>
    <row r="2184" spans="5:8" x14ac:dyDescent="0.25">
      <c r="E2184" t="str">
        <f>""</f>
        <v/>
      </c>
      <c r="F2184" t="str">
        <f>""</f>
        <v/>
      </c>
      <c r="G2184" s="3">
        <v>495.57</v>
      </c>
      <c r="H2184" t="str">
        <f t="shared" si="39"/>
        <v>MEDICARE TAXES</v>
      </c>
    </row>
    <row r="2185" spans="5:8" x14ac:dyDescent="0.25">
      <c r="E2185" t="str">
        <f>""</f>
        <v/>
      </c>
      <c r="F2185" t="str">
        <f>""</f>
        <v/>
      </c>
      <c r="G2185" s="3">
        <v>48.62</v>
      </c>
      <c r="H2185" t="str">
        <f t="shared" si="39"/>
        <v>MEDICARE TAXES</v>
      </c>
    </row>
    <row r="2186" spans="5:8" x14ac:dyDescent="0.25">
      <c r="E2186" t="str">
        <f>""</f>
        <v/>
      </c>
      <c r="F2186" t="str">
        <f>""</f>
        <v/>
      </c>
      <c r="G2186" s="3">
        <v>106.21</v>
      </c>
      <c r="H2186" t="str">
        <f t="shared" si="39"/>
        <v>MEDICARE TAXES</v>
      </c>
    </row>
    <row r="2187" spans="5:8" x14ac:dyDescent="0.25">
      <c r="E2187" t="str">
        <f>""</f>
        <v/>
      </c>
      <c r="F2187" t="str">
        <f>""</f>
        <v/>
      </c>
      <c r="G2187" s="3">
        <v>3.48</v>
      </c>
      <c r="H2187" t="str">
        <f t="shared" si="39"/>
        <v>MEDICARE TAXES</v>
      </c>
    </row>
    <row r="2188" spans="5:8" x14ac:dyDescent="0.25">
      <c r="E2188" t="str">
        <f>""</f>
        <v/>
      </c>
      <c r="F2188" t="str">
        <f>""</f>
        <v/>
      </c>
      <c r="G2188" s="3">
        <v>1.72</v>
      </c>
      <c r="H2188" t="str">
        <f t="shared" si="39"/>
        <v>MEDICARE TAXES</v>
      </c>
    </row>
    <row r="2189" spans="5:8" x14ac:dyDescent="0.25">
      <c r="E2189" t="str">
        <f>""</f>
        <v/>
      </c>
      <c r="F2189" t="str">
        <f>""</f>
        <v/>
      </c>
      <c r="G2189" s="3">
        <v>3.62</v>
      </c>
      <c r="H2189" t="str">
        <f t="shared" si="39"/>
        <v>MEDICARE TAXES</v>
      </c>
    </row>
    <row r="2190" spans="5:8" x14ac:dyDescent="0.25">
      <c r="E2190" t="str">
        <f>""</f>
        <v/>
      </c>
      <c r="F2190" t="str">
        <f>""</f>
        <v/>
      </c>
      <c r="G2190" s="3">
        <v>5.26</v>
      </c>
      <c r="H2190" t="str">
        <f t="shared" si="39"/>
        <v>MEDICARE TAXES</v>
      </c>
    </row>
    <row r="2191" spans="5:8" x14ac:dyDescent="0.25">
      <c r="E2191" t="str">
        <f>""</f>
        <v/>
      </c>
      <c r="F2191" t="str">
        <f>""</f>
        <v/>
      </c>
      <c r="G2191" s="3">
        <v>87.94</v>
      </c>
      <c r="H2191" t="str">
        <f t="shared" si="39"/>
        <v>MEDICARE TAXES</v>
      </c>
    </row>
    <row r="2192" spans="5:8" x14ac:dyDescent="0.25">
      <c r="E2192" t="str">
        <f>""</f>
        <v/>
      </c>
      <c r="F2192" t="str">
        <f>""</f>
        <v/>
      </c>
      <c r="G2192" s="3">
        <v>14346.5</v>
      </c>
      <c r="H2192" t="str">
        <f t="shared" si="39"/>
        <v>MEDICARE TAXES</v>
      </c>
    </row>
    <row r="2193" spans="1:8" x14ac:dyDescent="0.25">
      <c r="E2193" t="str">
        <f>"T4 202110276653"</f>
        <v>T4 202110276653</v>
      </c>
      <c r="F2193" t="str">
        <f>"MEDICARE TAXES"</f>
        <v>MEDICARE TAXES</v>
      </c>
      <c r="G2193" s="3">
        <v>509.38</v>
      </c>
      <c r="H2193" t="str">
        <f t="shared" si="39"/>
        <v>MEDICARE TAXES</v>
      </c>
    </row>
    <row r="2194" spans="1:8" x14ac:dyDescent="0.25">
      <c r="E2194" t="str">
        <f>""</f>
        <v/>
      </c>
      <c r="F2194" t="str">
        <f>""</f>
        <v/>
      </c>
      <c r="G2194" s="3">
        <v>509.38</v>
      </c>
      <c r="H2194" t="str">
        <f t="shared" si="39"/>
        <v>MEDICARE TAXES</v>
      </c>
    </row>
    <row r="2195" spans="1:8" x14ac:dyDescent="0.25">
      <c r="E2195" t="str">
        <f>"T4 202110276654"</f>
        <v>T4 202110276654</v>
      </c>
      <c r="F2195" t="str">
        <f>"MEDICARE TAXES"</f>
        <v>MEDICARE TAXES</v>
      </c>
      <c r="G2195" s="3">
        <v>570.27</v>
      </c>
      <c r="H2195" t="str">
        <f t="shared" si="39"/>
        <v>MEDICARE TAXES</v>
      </c>
    </row>
    <row r="2196" spans="1:8" x14ac:dyDescent="0.25">
      <c r="E2196" t="str">
        <f>""</f>
        <v/>
      </c>
      <c r="F2196" t="str">
        <f>""</f>
        <v/>
      </c>
      <c r="G2196" s="3">
        <v>570.27</v>
      </c>
      <c r="H2196" t="str">
        <f t="shared" si="39"/>
        <v>MEDICARE TAXES</v>
      </c>
    </row>
    <row r="2197" spans="1:8" x14ac:dyDescent="0.25">
      <c r="A2197" t="s">
        <v>453</v>
      </c>
      <c r="B2197">
        <v>1401</v>
      </c>
      <c r="C2197" s="3">
        <v>267.14</v>
      </c>
      <c r="D2197" s="4">
        <v>44498</v>
      </c>
      <c r="E2197" t="str">
        <f>"T1 202110276714"</f>
        <v>T1 202110276714</v>
      </c>
      <c r="F2197" t="str">
        <f>"FEDERAL WITHHOLDING"</f>
        <v>FEDERAL WITHHOLDING</v>
      </c>
      <c r="G2197" s="3">
        <v>97.7</v>
      </c>
      <c r="H2197" t="str">
        <f>"FEDERAL WITHHOLDING"</f>
        <v>FEDERAL WITHHOLDING</v>
      </c>
    </row>
    <row r="2198" spans="1:8" x14ac:dyDescent="0.25">
      <c r="E2198" t="str">
        <f>"T3 202110276714"</f>
        <v>T3 202110276714</v>
      </c>
      <c r="F2198" t="str">
        <f>"SOCIAL SECURITY TAXES"</f>
        <v>SOCIAL SECURITY TAXES</v>
      </c>
      <c r="G2198" s="3">
        <v>68.66</v>
      </c>
      <c r="H2198" t="str">
        <f>"SOCIAL SECURITY TAXES"</f>
        <v>SOCIAL SECURITY TAXES</v>
      </c>
    </row>
    <row r="2199" spans="1:8" x14ac:dyDescent="0.25">
      <c r="E2199" t="str">
        <f>""</f>
        <v/>
      </c>
      <c r="F2199" t="str">
        <f>""</f>
        <v/>
      </c>
      <c r="G2199" s="3">
        <v>68.66</v>
      </c>
      <c r="H2199" t="str">
        <f>"SOCIAL SECURITY TAXES"</f>
        <v>SOCIAL SECURITY TAXES</v>
      </c>
    </row>
    <row r="2200" spans="1:8" x14ac:dyDescent="0.25">
      <c r="E2200" t="str">
        <f>"T4 202110276714"</f>
        <v>T4 202110276714</v>
      </c>
      <c r="F2200" t="str">
        <f>"MEDICARE TAXES"</f>
        <v>MEDICARE TAXES</v>
      </c>
      <c r="G2200" s="3">
        <v>16.059999999999999</v>
      </c>
      <c r="H2200" t="str">
        <f>"MEDICARE TAXES"</f>
        <v>MEDICARE TAXES</v>
      </c>
    </row>
    <row r="2201" spans="1:8" x14ac:dyDescent="0.25">
      <c r="E2201" t="str">
        <f>""</f>
        <v/>
      </c>
      <c r="F2201" t="str">
        <f>""</f>
        <v/>
      </c>
      <c r="G2201" s="3">
        <v>16.059999999999999</v>
      </c>
      <c r="H2201" t="str">
        <f>"MEDICARE TAXES"</f>
        <v>MEDICARE TAXES</v>
      </c>
    </row>
    <row r="2202" spans="1:8" x14ac:dyDescent="0.25">
      <c r="A2202" t="s">
        <v>454</v>
      </c>
      <c r="B2202">
        <v>1406</v>
      </c>
      <c r="C2202" s="3">
        <v>425.32</v>
      </c>
      <c r="D2202" s="4">
        <v>44497</v>
      </c>
      <c r="E2202" t="str">
        <f>"LIX202109295920"</f>
        <v>LIX202109295920</v>
      </c>
      <c r="F2202" t="str">
        <f>"TEXAS LIFE/OLIVO GROUP"</f>
        <v>TEXAS LIFE/OLIVO GROUP</v>
      </c>
      <c r="G2202" s="3">
        <v>212.66</v>
      </c>
      <c r="H2202" t="str">
        <f>"TEXAS LIFE/OLIVO GROUP"</f>
        <v>TEXAS LIFE/OLIVO GROUP</v>
      </c>
    </row>
    <row r="2203" spans="1:8" x14ac:dyDescent="0.25">
      <c r="E2203" t="str">
        <f>"LIX202110136441"</f>
        <v>LIX202110136441</v>
      </c>
      <c r="F2203" t="str">
        <f>"TEXAS LIFE/OLIVO GROUP"</f>
        <v>TEXAS LIFE/OLIVO GROUP</v>
      </c>
      <c r="G2203" s="3">
        <v>212.66</v>
      </c>
      <c r="H2203" t="str">
        <f>"TEXAS LIFE/OLIVO GROUP"</f>
        <v>TEXAS LIFE/OLIVO GROUP</v>
      </c>
    </row>
    <row r="2204" spans="1:8" x14ac:dyDescent="0.25">
      <c r="A2204" t="s">
        <v>455</v>
      </c>
      <c r="B2204">
        <v>48503</v>
      </c>
      <c r="C2204" s="3">
        <v>8850</v>
      </c>
      <c r="D2204" s="4">
        <v>44497</v>
      </c>
      <c r="E2204" t="str">
        <f>"202110276699"</f>
        <v>202110276699</v>
      </c>
      <c r="F2204" t="str">
        <f>"ADJ - OCT 2021"</f>
        <v>ADJ - OCT 2021</v>
      </c>
      <c r="G2204" s="3">
        <v>50</v>
      </c>
      <c r="H2204" t="str">
        <f>"ADJ - OCT 2021"</f>
        <v>ADJ - OCT 2021</v>
      </c>
    </row>
    <row r="2205" spans="1:8" x14ac:dyDescent="0.25">
      <c r="E2205" t="str">
        <f>"PHI202109295920"</f>
        <v>PHI202109295920</v>
      </c>
      <c r="F2205" t="str">
        <f>"PHI AIR"</f>
        <v>PHI AIR</v>
      </c>
      <c r="G2205" s="3">
        <v>4325</v>
      </c>
      <c r="H2205" t="str">
        <f>"PHI AIR"</f>
        <v>PHI AIR</v>
      </c>
    </row>
    <row r="2206" spans="1:8" x14ac:dyDescent="0.25">
      <c r="E2206" t="str">
        <f>"PHI202109295921"</f>
        <v>PHI202109295921</v>
      </c>
      <c r="F2206" t="str">
        <f>"PHI AIR"</f>
        <v>PHI AIR</v>
      </c>
      <c r="G2206" s="3">
        <v>75</v>
      </c>
      <c r="H2206" t="str">
        <f>"PHI AIR"</f>
        <v>PHI AIR</v>
      </c>
    </row>
    <row r="2207" spans="1:8" x14ac:dyDescent="0.25">
      <c r="E2207" t="str">
        <f>"PHI202110136441"</f>
        <v>PHI202110136441</v>
      </c>
      <c r="F2207" t="str">
        <f>"PHI AIR"</f>
        <v>PHI AIR</v>
      </c>
      <c r="G2207" s="3">
        <v>4325</v>
      </c>
      <c r="H2207" t="str">
        <f>"PHI AIR"</f>
        <v>PHI AIR</v>
      </c>
    </row>
    <row r="2208" spans="1:8" x14ac:dyDescent="0.25">
      <c r="E2208" t="str">
        <f>"PHI202110136442"</f>
        <v>PHI202110136442</v>
      </c>
      <c r="F2208" t="str">
        <f>"PHI AIR"</f>
        <v>PHI AIR</v>
      </c>
      <c r="G2208" s="3">
        <v>75</v>
      </c>
      <c r="H2208" t="str">
        <f>"PHI AIR"</f>
        <v>PHI AIR</v>
      </c>
    </row>
    <row r="2209" spans="1:8" x14ac:dyDescent="0.25">
      <c r="A2209" t="s">
        <v>456</v>
      </c>
      <c r="B2209">
        <v>1345</v>
      </c>
      <c r="C2209" s="3">
        <v>7680.45</v>
      </c>
      <c r="D2209" s="4">
        <v>44470</v>
      </c>
      <c r="E2209" t="str">
        <f>"FSA202109295920"</f>
        <v>FSA202109295920</v>
      </c>
      <c r="F2209" t="str">
        <f>"STERLING FSA"</f>
        <v>STERLING FSA</v>
      </c>
      <c r="G2209" s="3">
        <v>7270.45</v>
      </c>
      <c r="H2209" t="str">
        <f>"STERLING FSA"</f>
        <v>STERLING FSA</v>
      </c>
    </row>
    <row r="2210" spans="1:8" x14ac:dyDescent="0.25">
      <c r="E2210" t="str">
        <f>"FSA202109295921"</f>
        <v>FSA202109295921</v>
      </c>
      <c r="F2210" t="str">
        <f>"STERLING FSA"</f>
        <v>STERLING FSA</v>
      </c>
      <c r="G2210" s="3">
        <v>360</v>
      </c>
      <c r="H2210" t="str">
        <f>"STERLING FSA"</f>
        <v>STERLING FSA</v>
      </c>
    </row>
    <row r="2211" spans="1:8" x14ac:dyDescent="0.25">
      <c r="E2211" t="str">
        <f>"FSC202109295920"</f>
        <v>FSC202109295920</v>
      </c>
      <c r="F2211" t="str">
        <f>"STERLING DEPENDENT CARE"</f>
        <v>STERLING DEPENDENT CARE</v>
      </c>
      <c r="G2211" s="3">
        <v>50</v>
      </c>
      <c r="H2211" t="str">
        <f>"STERLING DEPENDENT CARE"</f>
        <v>STERLING DEPENDENT CARE</v>
      </c>
    </row>
    <row r="2212" spans="1:8" x14ac:dyDescent="0.25">
      <c r="A2212" t="s">
        <v>456</v>
      </c>
      <c r="B2212">
        <v>1346</v>
      </c>
      <c r="C2212" s="3">
        <v>243000</v>
      </c>
      <c r="D2212" s="4">
        <v>44470</v>
      </c>
      <c r="E2212" t="str">
        <f>"HRA202109295920"</f>
        <v>HRA202109295920</v>
      </c>
      <c r="F2212" t="str">
        <f>"STERLING HRA"</f>
        <v>STERLING HRA</v>
      </c>
      <c r="G2212" s="3">
        <v>1500</v>
      </c>
      <c r="H2212" t="str">
        <f t="shared" ref="H2212:H2264" si="40">"STERLING HRA"</f>
        <v>STERLING HRA</v>
      </c>
    </row>
    <row r="2213" spans="1:8" x14ac:dyDescent="0.25">
      <c r="E2213" t="str">
        <f>""</f>
        <v/>
      </c>
      <c r="F2213" t="str">
        <f>""</f>
        <v/>
      </c>
      <c r="G2213" s="3">
        <v>866.48</v>
      </c>
      <c r="H2213" t="str">
        <f t="shared" si="40"/>
        <v>STERLING HRA</v>
      </c>
    </row>
    <row r="2214" spans="1:8" x14ac:dyDescent="0.25">
      <c r="E2214" t="str">
        <f>""</f>
        <v/>
      </c>
      <c r="F2214" t="str">
        <f>""</f>
        <v/>
      </c>
      <c r="G2214" s="3">
        <v>4445.8500000000004</v>
      </c>
      <c r="H2214" t="str">
        <f t="shared" si="40"/>
        <v>STERLING HRA</v>
      </c>
    </row>
    <row r="2215" spans="1:8" x14ac:dyDescent="0.25">
      <c r="E2215" t="str">
        <f>""</f>
        <v/>
      </c>
      <c r="F2215" t="str">
        <f>""</f>
        <v/>
      </c>
      <c r="G2215" s="3">
        <v>1500</v>
      </c>
      <c r="H2215" t="str">
        <f t="shared" si="40"/>
        <v>STERLING HRA</v>
      </c>
    </row>
    <row r="2216" spans="1:8" x14ac:dyDescent="0.25">
      <c r="E2216" t="str">
        <f>""</f>
        <v/>
      </c>
      <c r="F2216" t="str">
        <f>""</f>
        <v/>
      </c>
      <c r="G2216" s="3">
        <v>1000</v>
      </c>
      <c r="H2216" t="str">
        <f t="shared" si="40"/>
        <v>STERLING HRA</v>
      </c>
    </row>
    <row r="2217" spans="1:8" x14ac:dyDescent="0.25">
      <c r="E2217" t="str">
        <f>""</f>
        <v/>
      </c>
      <c r="F2217" t="str">
        <f>""</f>
        <v/>
      </c>
      <c r="G2217" s="3">
        <v>3000</v>
      </c>
      <c r="H2217" t="str">
        <f t="shared" si="40"/>
        <v>STERLING HRA</v>
      </c>
    </row>
    <row r="2218" spans="1:8" x14ac:dyDescent="0.25">
      <c r="E2218" t="str">
        <f>""</f>
        <v/>
      </c>
      <c r="F2218" t="str">
        <f>""</f>
        <v/>
      </c>
      <c r="G2218" s="3">
        <v>10500</v>
      </c>
      <c r="H2218" t="str">
        <f t="shared" si="40"/>
        <v>STERLING HRA</v>
      </c>
    </row>
    <row r="2219" spans="1:8" x14ac:dyDescent="0.25">
      <c r="E2219" t="str">
        <f>""</f>
        <v/>
      </c>
      <c r="F2219" t="str">
        <f>""</f>
        <v/>
      </c>
      <c r="G2219" s="3">
        <v>500</v>
      </c>
      <c r="H2219" t="str">
        <f t="shared" si="40"/>
        <v>STERLING HRA</v>
      </c>
    </row>
    <row r="2220" spans="1:8" x14ac:dyDescent="0.25">
      <c r="E2220" t="str">
        <f>""</f>
        <v/>
      </c>
      <c r="F2220" t="str">
        <f>""</f>
        <v/>
      </c>
      <c r="G2220" s="3">
        <v>1929.21</v>
      </c>
      <c r="H2220" t="str">
        <f t="shared" si="40"/>
        <v>STERLING HRA</v>
      </c>
    </row>
    <row r="2221" spans="1:8" x14ac:dyDescent="0.25">
      <c r="E2221" t="str">
        <f>""</f>
        <v/>
      </c>
      <c r="F2221" t="str">
        <f>""</f>
        <v/>
      </c>
      <c r="G2221" s="3">
        <v>2500</v>
      </c>
      <c r="H2221" t="str">
        <f t="shared" si="40"/>
        <v>STERLING HRA</v>
      </c>
    </row>
    <row r="2222" spans="1:8" x14ac:dyDescent="0.25">
      <c r="E2222" t="str">
        <f>""</f>
        <v/>
      </c>
      <c r="F2222" t="str">
        <f>""</f>
        <v/>
      </c>
      <c r="G2222" s="3">
        <v>8000</v>
      </c>
      <c r="H2222" t="str">
        <f t="shared" si="40"/>
        <v>STERLING HRA</v>
      </c>
    </row>
    <row r="2223" spans="1:8" x14ac:dyDescent="0.25">
      <c r="E2223" t="str">
        <f>""</f>
        <v/>
      </c>
      <c r="F2223" t="str">
        <f>""</f>
        <v/>
      </c>
      <c r="G2223" s="3">
        <v>2000</v>
      </c>
      <c r="H2223" t="str">
        <f t="shared" si="40"/>
        <v>STERLING HRA</v>
      </c>
    </row>
    <row r="2224" spans="1:8" x14ac:dyDescent="0.25">
      <c r="E2224" t="str">
        <f>""</f>
        <v/>
      </c>
      <c r="F2224" t="str">
        <f>""</f>
        <v/>
      </c>
      <c r="G2224" s="3">
        <v>1500</v>
      </c>
      <c r="H2224" t="str">
        <f t="shared" si="40"/>
        <v>STERLING HRA</v>
      </c>
    </row>
    <row r="2225" spans="5:8" x14ac:dyDescent="0.25">
      <c r="E2225" t="str">
        <f>""</f>
        <v/>
      </c>
      <c r="F2225" t="str">
        <f>""</f>
        <v/>
      </c>
      <c r="G2225" s="3">
        <v>2000</v>
      </c>
      <c r="H2225" t="str">
        <f t="shared" si="40"/>
        <v>STERLING HRA</v>
      </c>
    </row>
    <row r="2226" spans="5:8" x14ac:dyDescent="0.25">
      <c r="E2226" t="str">
        <f>""</f>
        <v/>
      </c>
      <c r="F2226" t="str">
        <f>""</f>
        <v/>
      </c>
      <c r="G2226" s="3">
        <v>2000</v>
      </c>
      <c r="H2226" t="str">
        <f t="shared" si="40"/>
        <v>STERLING HRA</v>
      </c>
    </row>
    <row r="2227" spans="5:8" x14ac:dyDescent="0.25">
      <c r="E2227" t="str">
        <f>""</f>
        <v/>
      </c>
      <c r="F2227" t="str">
        <f>""</f>
        <v/>
      </c>
      <c r="G2227" s="3">
        <v>1000</v>
      </c>
      <c r="H2227" t="str">
        <f t="shared" si="40"/>
        <v>STERLING HRA</v>
      </c>
    </row>
    <row r="2228" spans="5:8" x14ac:dyDescent="0.25">
      <c r="E2228" t="str">
        <f>""</f>
        <v/>
      </c>
      <c r="F2228" t="str">
        <f>""</f>
        <v/>
      </c>
      <c r="G2228" s="3">
        <v>8258.59</v>
      </c>
      <c r="H2228" t="str">
        <f t="shared" si="40"/>
        <v>STERLING HRA</v>
      </c>
    </row>
    <row r="2229" spans="5:8" x14ac:dyDescent="0.25">
      <c r="E2229" t="str">
        <f>""</f>
        <v/>
      </c>
      <c r="F2229" t="str">
        <f>""</f>
        <v/>
      </c>
      <c r="G2229" s="3">
        <v>4000</v>
      </c>
      <c r="H2229" t="str">
        <f t="shared" si="40"/>
        <v>STERLING HRA</v>
      </c>
    </row>
    <row r="2230" spans="5:8" x14ac:dyDescent="0.25">
      <c r="E2230" t="str">
        <f>""</f>
        <v/>
      </c>
      <c r="F2230" t="str">
        <f>""</f>
        <v/>
      </c>
      <c r="G2230" s="3">
        <v>2000</v>
      </c>
      <c r="H2230" t="str">
        <f t="shared" si="40"/>
        <v>STERLING HRA</v>
      </c>
    </row>
    <row r="2231" spans="5:8" x14ac:dyDescent="0.25">
      <c r="E2231" t="str">
        <f>""</f>
        <v/>
      </c>
      <c r="F2231" t="str">
        <f>""</f>
        <v/>
      </c>
      <c r="G2231" s="3">
        <v>2000</v>
      </c>
      <c r="H2231" t="str">
        <f t="shared" si="40"/>
        <v>STERLING HRA</v>
      </c>
    </row>
    <row r="2232" spans="5:8" x14ac:dyDescent="0.25">
      <c r="E2232" t="str">
        <f>""</f>
        <v/>
      </c>
      <c r="F2232" t="str">
        <f>""</f>
        <v/>
      </c>
      <c r="G2232" s="3">
        <v>6500</v>
      </c>
      <c r="H2232" t="str">
        <f t="shared" si="40"/>
        <v>STERLING HRA</v>
      </c>
    </row>
    <row r="2233" spans="5:8" x14ac:dyDescent="0.25">
      <c r="E2233" t="str">
        <f>""</f>
        <v/>
      </c>
      <c r="F2233" t="str">
        <f>""</f>
        <v/>
      </c>
      <c r="G2233" s="3">
        <v>3500</v>
      </c>
      <c r="H2233" t="str">
        <f t="shared" si="40"/>
        <v>STERLING HRA</v>
      </c>
    </row>
    <row r="2234" spans="5:8" x14ac:dyDescent="0.25">
      <c r="E2234" t="str">
        <f>""</f>
        <v/>
      </c>
      <c r="F2234" t="str">
        <f>""</f>
        <v/>
      </c>
      <c r="G2234" s="3">
        <v>6000</v>
      </c>
      <c r="H2234" t="str">
        <f t="shared" si="40"/>
        <v>STERLING HRA</v>
      </c>
    </row>
    <row r="2235" spans="5:8" x14ac:dyDescent="0.25">
      <c r="E2235" t="str">
        <f>""</f>
        <v/>
      </c>
      <c r="F2235" t="str">
        <f>""</f>
        <v/>
      </c>
      <c r="G2235" s="3">
        <v>7000</v>
      </c>
      <c r="H2235" t="str">
        <f t="shared" si="40"/>
        <v>STERLING HRA</v>
      </c>
    </row>
    <row r="2236" spans="5:8" x14ac:dyDescent="0.25">
      <c r="E2236" t="str">
        <f>""</f>
        <v/>
      </c>
      <c r="F2236" t="str">
        <f>""</f>
        <v/>
      </c>
      <c r="G2236" s="3">
        <v>12508.1</v>
      </c>
      <c r="H2236" t="str">
        <f t="shared" si="40"/>
        <v>STERLING HRA</v>
      </c>
    </row>
    <row r="2237" spans="5:8" x14ac:dyDescent="0.25">
      <c r="E2237" t="str">
        <f>""</f>
        <v/>
      </c>
      <c r="F2237" t="str">
        <f>""</f>
        <v/>
      </c>
      <c r="G2237" s="3">
        <v>500</v>
      </c>
      <c r="H2237" t="str">
        <f t="shared" si="40"/>
        <v>STERLING HRA</v>
      </c>
    </row>
    <row r="2238" spans="5:8" x14ac:dyDescent="0.25">
      <c r="E2238" t="str">
        <f>""</f>
        <v/>
      </c>
      <c r="F2238" t="str">
        <f>""</f>
        <v/>
      </c>
      <c r="G2238" s="3">
        <v>500</v>
      </c>
      <c r="H2238" t="str">
        <f t="shared" si="40"/>
        <v>STERLING HRA</v>
      </c>
    </row>
    <row r="2239" spans="5:8" x14ac:dyDescent="0.25">
      <c r="E2239" t="str">
        <f>""</f>
        <v/>
      </c>
      <c r="F2239" t="str">
        <f>""</f>
        <v/>
      </c>
      <c r="G2239" s="3">
        <v>500</v>
      </c>
      <c r="H2239" t="str">
        <f t="shared" si="40"/>
        <v>STERLING HRA</v>
      </c>
    </row>
    <row r="2240" spans="5:8" x14ac:dyDescent="0.25">
      <c r="E2240" t="str">
        <f>""</f>
        <v/>
      </c>
      <c r="F2240" t="str">
        <f>""</f>
        <v/>
      </c>
      <c r="G2240" s="3">
        <v>500</v>
      </c>
      <c r="H2240" t="str">
        <f t="shared" si="40"/>
        <v>STERLING HRA</v>
      </c>
    </row>
    <row r="2241" spans="5:8" x14ac:dyDescent="0.25">
      <c r="E2241" t="str">
        <f>""</f>
        <v/>
      </c>
      <c r="F2241" t="str">
        <f>""</f>
        <v/>
      </c>
      <c r="G2241" s="3">
        <v>44239.49</v>
      </c>
      <c r="H2241" t="str">
        <f t="shared" si="40"/>
        <v>STERLING HRA</v>
      </c>
    </row>
    <row r="2242" spans="5:8" x14ac:dyDescent="0.25">
      <c r="E2242" t="str">
        <f>""</f>
        <v/>
      </c>
      <c r="F2242" t="str">
        <f>""</f>
        <v/>
      </c>
      <c r="G2242" s="3">
        <v>1969.65</v>
      </c>
      <c r="H2242" t="str">
        <f t="shared" si="40"/>
        <v>STERLING HRA</v>
      </c>
    </row>
    <row r="2243" spans="5:8" x14ac:dyDescent="0.25">
      <c r="E2243" t="str">
        <f>""</f>
        <v/>
      </c>
      <c r="F2243" t="str">
        <f>""</f>
        <v/>
      </c>
      <c r="G2243" s="3">
        <v>39821.46</v>
      </c>
      <c r="H2243" t="str">
        <f t="shared" si="40"/>
        <v>STERLING HRA</v>
      </c>
    </row>
    <row r="2244" spans="5:8" x14ac:dyDescent="0.25">
      <c r="E2244" t="str">
        <f>""</f>
        <v/>
      </c>
      <c r="F2244" t="str">
        <f>""</f>
        <v/>
      </c>
      <c r="G2244" s="3">
        <v>9000</v>
      </c>
      <c r="H2244" t="str">
        <f t="shared" si="40"/>
        <v>STERLING HRA</v>
      </c>
    </row>
    <row r="2245" spans="5:8" x14ac:dyDescent="0.25">
      <c r="E2245" t="str">
        <f>""</f>
        <v/>
      </c>
      <c r="F2245" t="str">
        <f>""</f>
        <v/>
      </c>
      <c r="G2245" s="3">
        <v>500</v>
      </c>
      <c r="H2245" t="str">
        <f t="shared" si="40"/>
        <v>STERLING HRA</v>
      </c>
    </row>
    <row r="2246" spans="5:8" x14ac:dyDescent="0.25">
      <c r="E2246" t="str">
        <f>""</f>
        <v/>
      </c>
      <c r="F2246" t="str">
        <f>""</f>
        <v/>
      </c>
      <c r="G2246" s="3">
        <v>1500</v>
      </c>
      <c r="H2246" t="str">
        <f t="shared" si="40"/>
        <v>STERLING HRA</v>
      </c>
    </row>
    <row r="2247" spans="5:8" x14ac:dyDescent="0.25">
      <c r="E2247" t="str">
        <f>""</f>
        <v/>
      </c>
      <c r="F2247" t="str">
        <f>""</f>
        <v/>
      </c>
      <c r="G2247" s="3">
        <v>128.13</v>
      </c>
      <c r="H2247" t="str">
        <f t="shared" si="40"/>
        <v>STERLING HRA</v>
      </c>
    </row>
    <row r="2248" spans="5:8" x14ac:dyDescent="0.25">
      <c r="E2248" t="str">
        <f>""</f>
        <v/>
      </c>
      <c r="F2248" t="str">
        <f>""</f>
        <v/>
      </c>
      <c r="G2248" s="3">
        <v>1500</v>
      </c>
      <c r="H2248" t="str">
        <f t="shared" si="40"/>
        <v>STERLING HRA</v>
      </c>
    </row>
    <row r="2249" spans="5:8" x14ac:dyDescent="0.25">
      <c r="E2249" t="str">
        <f>""</f>
        <v/>
      </c>
      <c r="F2249" t="str">
        <f>""</f>
        <v/>
      </c>
      <c r="G2249" s="3">
        <v>500</v>
      </c>
      <c r="H2249" t="str">
        <f t="shared" si="40"/>
        <v>STERLING HRA</v>
      </c>
    </row>
    <row r="2250" spans="5:8" x14ac:dyDescent="0.25">
      <c r="E2250" t="str">
        <f>""</f>
        <v/>
      </c>
      <c r="F2250" t="str">
        <f>""</f>
        <v/>
      </c>
      <c r="G2250" s="3">
        <v>1500</v>
      </c>
      <c r="H2250" t="str">
        <f t="shared" si="40"/>
        <v>STERLING HRA</v>
      </c>
    </row>
    <row r="2251" spans="5:8" x14ac:dyDescent="0.25">
      <c r="E2251" t="str">
        <f>""</f>
        <v/>
      </c>
      <c r="F2251" t="str">
        <f>""</f>
        <v/>
      </c>
      <c r="G2251" s="3">
        <v>1000</v>
      </c>
      <c r="H2251" t="str">
        <f t="shared" si="40"/>
        <v>STERLING HRA</v>
      </c>
    </row>
    <row r="2252" spans="5:8" x14ac:dyDescent="0.25">
      <c r="E2252" t="str">
        <f>""</f>
        <v/>
      </c>
      <c r="F2252" t="str">
        <f>""</f>
        <v/>
      </c>
      <c r="G2252" s="3">
        <v>554.15</v>
      </c>
      <c r="H2252" t="str">
        <f t="shared" si="40"/>
        <v>STERLING HRA</v>
      </c>
    </row>
    <row r="2253" spans="5:8" x14ac:dyDescent="0.25">
      <c r="E2253" t="str">
        <f>""</f>
        <v/>
      </c>
      <c r="F2253" t="str">
        <f>""</f>
        <v/>
      </c>
      <c r="G2253" s="3">
        <v>5903.35</v>
      </c>
      <c r="H2253" t="str">
        <f t="shared" si="40"/>
        <v>STERLING HRA</v>
      </c>
    </row>
    <row r="2254" spans="5:8" x14ac:dyDescent="0.25">
      <c r="E2254" t="str">
        <f>""</f>
        <v/>
      </c>
      <c r="F2254" t="str">
        <f>""</f>
        <v/>
      </c>
      <c r="G2254" s="3">
        <v>7407.9</v>
      </c>
      <c r="H2254" t="str">
        <f t="shared" si="40"/>
        <v>STERLING HRA</v>
      </c>
    </row>
    <row r="2255" spans="5:8" x14ac:dyDescent="0.25">
      <c r="E2255" t="str">
        <f>""</f>
        <v/>
      </c>
      <c r="F2255" t="str">
        <f>""</f>
        <v/>
      </c>
      <c r="G2255" s="3">
        <v>6903.35</v>
      </c>
      <c r="H2255" t="str">
        <f t="shared" si="40"/>
        <v>STERLING HRA</v>
      </c>
    </row>
    <row r="2256" spans="5:8" x14ac:dyDescent="0.25">
      <c r="E2256" t="str">
        <f>""</f>
        <v/>
      </c>
      <c r="F2256" t="str">
        <f>""</f>
        <v/>
      </c>
      <c r="G2256" s="3">
        <v>7410.82</v>
      </c>
      <c r="H2256" t="str">
        <f t="shared" si="40"/>
        <v>STERLING HRA</v>
      </c>
    </row>
    <row r="2257" spans="1:8" x14ac:dyDescent="0.25">
      <c r="E2257" t="str">
        <f>""</f>
        <v/>
      </c>
      <c r="F2257" t="str">
        <f>""</f>
        <v/>
      </c>
      <c r="G2257" s="3">
        <v>1000</v>
      </c>
      <c r="H2257" t="str">
        <f t="shared" si="40"/>
        <v>STERLING HRA</v>
      </c>
    </row>
    <row r="2258" spans="1:8" x14ac:dyDescent="0.25">
      <c r="E2258" t="str">
        <f>""</f>
        <v/>
      </c>
      <c r="F2258" t="str">
        <f>""</f>
        <v/>
      </c>
      <c r="G2258" s="3">
        <v>871.87</v>
      </c>
      <c r="H2258" t="str">
        <f t="shared" si="40"/>
        <v>STERLING HRA</v>
      </c>
    </row>
    <row r="2259" spans="1:8" x14ac:dyDescent="0.25">
      <c r="E2259" t="str">
        <f>""</f>
        <v/>
      </c>
      <c r="F2259" t="str">
        <f>""</f>
        <v/>
      </c>
      <c r="G2259" s="3">
        <v>4971.5</v>
      </c>
      <c r="H2259" t="str">
        <f t="shared" si="40"/>
        <v>STERLING HRA</v>
      </c>
    </row>
    <row r="2260" spans="1:8" x14ac:dyDescent="0.25">
      <c r="E2260" t="str">
        <f>""</f>
        <v/>
      </c>
      <c r="F2260" t="str">
        <f>""</f>
        <v/>
      </c>
      <c r="G2260" s="3">
        <v>178.06</v>
      </c>
      <c r="H2260" t="str">
        <f t="shared" si="40"/>
        <v>STERLING HRA</v>
      </c>
    </row>
    <row r="2261" spans="1:8" x14ac:dyDescent="0.25">
      <c r="E2261" t="str">
        <f>""</f>
        <v/>
      </c>
      <c r="F2261" t="str">
        <f>""</f>
        <v/>
      </c>
      <c r="G2261" s="3">
        <v>63.35</v>
      </c>
      <c r="H2261" t="str">
        <f t="shared" si="40"/>
        <v>STERLING HRA</v>
      </c>
    </row>
    <row r="2262" spans="1:8" x14ac:dyDescent="0.25">
      <c r="E2262" t="str">
        <f>""</f>
        <v/>
      </c>
      <c r="F2262" t="str">
        <f>""</f>
        <v/>
      </c>
      <c r="G2262" s="3">
        <v>70.790000000000006</v>
      </c>
      <c r="H2262" t="str">
        <f t="shared" si="40"/>
        <v>STERLING HRA</v>
      </c>
    </row>
    <row r="2263" spans="1:8" x14ac:dyDescent="0.25">
      <c r="E2263" t="str">
        <f>""</f>
        <v/>
      </c>
      <c r="F2263" t="str">
        <f>""</f>
        <v/>
      </c>
      <c r="G2263" s="3">
        <v>497.9</v>
      </c>
      <c r="H2263" t="str">
        <f t="shared" si="40"/>
        <v>STERLING HRA</v>
      </c>
    </row>
    <row r="2264" spans="1:8" x14ac:dyDescent="0.25">
      <c r="E2264" t="str">
        <f>"HRA202109295921"</f>
        <v>HRA202109295921</v>
      </c>
      <c r="F2264" t="str">
        <f>"STERLING HRA"</f>
        <v>STERLING HRA</v>
      </c>
      <c r="G2264" s="3">
        <v>7500</v>
      </c>
      <c r="H2264" t="str">
        <f t="shared" si="40"/>
        <v>STERLING HRA</v>
      </c>
    </row>
    <row r="2265" spans="1:8" x14ac:dyDescent="0.25">
      <c r="A2265" t="s">
        <v>456</v>
      </c>
      <c r="B2265">
        <v>1347</v>
      </c>
      <c r="C2265" s="3">
        <v>1088.5</v>
      </c>
      <c r="D2265" s="4">
        <v>44470</v>
      </c>
      <c r="E2265" t="str">
        <f>"FSF202109295920"</f>
        <v>FSF202109295920</v>
      </c>
      <c r="F2265" t="str">
        <f>"STERLING - FSA  FEES"</f>
        <v>STERLING - FSA  FEES</v>
      </c>
      <c r="G2265" s="3">
        <v>8.6</v>
      </c>
      <c r="H2265" t="str">
        <f t="shared" ref="H2265:H2306" si="41">"STERLING - FSA  FEES"</f>
        <v>STERLING - FSA  FEES</v>
      </c>
    </row>
    <row r="2266" spans="1:8" x14ac:dyDescent="0.25">
      <c r="E2266" t="str">
        <f>""</f>
        <v/>
      </c>
      <c r="F2266" t="str">
        <f>""</f>
        <v/>
      </c>
      <c r="G2266" s="3">
        <v>3.5</v>
      </c>
      <c r="H2266" t="str">
        <f t="shared" si="41"/>
        <v>STERLING - FSA  FEES</v>
      </c>
    </row>
    <row r="2267" spans="1:8" x14ac:dyDescent="0.25">
      <c r="E2267" t="str">
        <f>""</f>
        <v/>
      </c>
      <c r="F2267" t="str">
        <f>""</f>
        <v/>
      </c>
      <c r="G2267" s="3">
        <v>10.5</v>
      </c>
      <c r="H2267" t="str">
        <f t="shared" si="41"/>
        <v>STERLING - FSA  FEES</v>
      </c>
    </row>
    <row r="2268" spans="1:8" x14ac:dyDescent="0.25">
      <c r="E2268" t="str">
        <f>""</f>
        <v/>
      </c>
      <c r="F2268" t="str">
        <f>""</f>
        <v/>
      </c>
      <c r="G2268" s="3">
        <v>1.75</v>
      </c>
      <c r="H2268" t="str">
        <f t="shared" si="41"/>
        <v>STERLING - FSA  FEES</v>
      </c>
    </row>
    <row r="2269" spans="1:8" x14ac:dyDescent="0.25">
      <c r="E2269" t="str">
        <f>""</f>
        <v/>
      </c>
      <c r="F2269" t="str">
        <f>""</f>
        <v/>
      </c>
      <c r="G2269" s="3">
        <v>5.01</v>
      </c>
      <c r="H2269" t="str">
        <f t="shared" si="41"/>
        <v>STERLING - FSA  FEES</v>
      </c>
    </row>
    <row r="2270" spans="1:8" x14ac:dyDescent="0.25">
      <c r="E2270" t="str">
        <f>""</f>
        <v/>
      </c>
      <c r="F2270" t="str">
        <f>""</f>
        <v/>
      </c>
      <c r="G2270" s="3">
        <v>1.75</v>
      </c>
      <c r="H2270" t="str">
        <f t="shared" si="41"/>
        <v>STERLING - FSA  FEES</v>
      </c>
    </row>
    <row r="2271" spans="1:8" x14ac:dyDescent="0.25">
      <c r="E2271" t="str">
        <f>""</f>
        <v/>
      </c>
      <c r="F2271" t="str">
        <f>""</f>
        <v/>
      </c>
      <c r="G2271" s="3">
        <v>8.75</v>
      </c>
      <c r="H2271" t="str">
        <f t="shared" si="41"/>
        <v>STERLING - FSA  FEES</v>
      </c>
    </row>
    <row r="2272" spans="1:8" x14ac:dyDescent="0.25">
      <c r="E2272" t="str">
        <f>""</f>
        <v/>
      </c>
      <c r="F2272" t="str">
        <f>""</f>
        <v/>
      </c>
      <c r="G2272" s="3">
        <v>5.25</v>
      </c>
      <c r="H2272" t="str">
        <f t="shared" si="41"/>
        <v>STERLING - FSA  FEES</v>
      </c>
    </row>
    <row r="2273" spans="5:8" x14ac:dyDescent="0.25">
      <c r="E2273" t="str">
        <f>""</f>
        <v/>
      </c>
      <c r="F2273" t="str">
        <f>""</f>
        <v/>
      </c>
      <c r="G2273" s="3">
        <v>3.5</v>
      </c>
      <c r="H2273" t="str">
        <f t="shared" si="41"/>
        <v>STERLING - FSA  FEES</v>
      </c>
    </row>
    <row r="2274" spans="5:8" x14ac:dyDescent="0.25">
      <c r="E2274" t="str">
        <f>""</f>
        <v/>
      </c>
      <c r="F2274" t="str">
        <f>""</f>
        <v/>
      </c>
      <c r="G2274" s="3">
        <v>1.75</v>
      </c>
      <c r="H2274" t="str">
        <f t="shared" si="41"/>
        <v>STERLING - FSA  FEES</v>
      </c>
    </row>
    <row r="2275" spans="5:8" x14ac:dyDescent="0.25">
      <c r="E2275" t="str">
        <f>""</f>
        <v/>
      </c>
      <c r="F2275" t="str">
        <f>""</f>
        <v/>
      </c>
      <c r="G2275" s="3">
        <v>15.12</v>
      </c>
      <c r="H2275" t="str">
        <f t="shared" si="41"/>
        <v>STERLING - FSA  FEES</v>
      </c>
    </row>
    <row r="2276" spans="5:8" x14ac:dyDescent="0.25">
      <c r="E2276" t="str">
        <f>""</f>
        <v/>
      </c>
      <c r="F2276" t="str">
        <f>""</f>
        <v/>
      </c>
      <c r="G2276" s="3">
        <v>3.5</v>
      </c>
      <c r="H2276" t="str">
        <f t="shared" si="41"/>
        <v>STERLING - FSA  FEES</v>
      </c>
    </row>
    <row r="2277" spans="5:8" x14ac:dyDescent="0.25">
      <c r="E2277" t="str">
        <f>""</f>
        <v/>
      </c>
      <c r="F2277" t="str">
        <f>""</f>
        <v/>
      </c>
      <c r="G2277" s="3">
        <v>3.5</v>
      </c>
      <c r="H2277" t="str">
        <f t="shared" si="41"/>
        <v>STERLING - FSA  FEES</v>
      </c>
    </row>
    <row r="2278" spans="5:8" x14ac:dyDescent="0.25">
      <c r="E2278" t="str">
        <f>""</f>
        <v/>
      </c>
      <c r="F2278" t="str">
        <f>""</f>
        <v/>
      </c>
      <c r="G2278" s="3">
        <v>1.75</v>
      </c>
      <c r="H2278" t="str">
        <f t="shared" si="41"/>
        <v>STERLING - FSA  FEES</v>
      </c>
    </row>
    <row r="2279" spans="5:8" x14ac:dyDescent="0.25">
      <c r="E2279" t="str">
        <f>""</f>
        <v/>
      </c>
      <c r="F2279" t="str">
        <f>""</f>
        <v/>
      </c>
      <c r="G2279" s="3">
        <v>3.5</v>
      </c>
      <c r="H2279" t="str">
        <f t="shared" si="41"/>
        <v>STERLING - FSA  FEES</v>
      </c>
    </row>
    <row r="2280" spans="5:8" x14ac:dyDescent="0.25">
      <c r="E2280" t="str">
        <f>""</f>
        <v/>
      </c>
      <c r="F2280" t="str">
        <f>""</f>
        <v/>
      </c>
      <c r="G2280" s="3">
        <v>3.5</v>
      </c>
      <c r="H2280" t="str">
        <f t="shared" si="41"/>
        <v>STERLING - FSA  FEES</v>
      </c>
    </row>
    <row r="2281" spans="5:8" x14ac:dyDescent="0.25">
      <c r="E2281" t="str">
        <f>""</f>
        <v/>
      </c>
      <c r="F2281" t="str">
        <f>""</f>
        <v/>
      </c>
      <c r="G2281" s="3">
        <v>14</v>
      </c>
      <c r="H2281" t="str">
        <f t="shared" si="41"/>
        <v>STERLING - FSA  FEES</v>
      </c>
    </row>
    <row r="2282" spans="5:8" x14ac:dyDescent="0.25">
      <c r="E2282" t="str">
        <f>""</f>
        <v/>
      </c>
      <c r="F2282" t="str">
        <f>""</f>
        <v/>
      </c>
      <c r="G2282" s="3">
        <v>3.5</v>
      </c>
      <c r="H2282" t="str">
        <f t="shared" si="41"/>
        <v>STERLING - FSA  FEES</v>
      </c>
    </row>
    <row r="2283" spans="5:8" x14ac:dyDescent="0.25">
      <c r="E2283" t="str">
        <f>""</f>
        <v/>
      </c>
      <c r="F2283" t="str">
        <f>""</f>
        <v/>
      </c>
      <c r="G2283" s="3">
        <v>14</v>
      </c>
      <c r="H2283" t="str">
        <f t="shared" si="41"/>
        <v>STERLING - FSA  FEES</v>
      </c>
    </row>
    <row r="2284" spans="5:8" x14ac:dyDescent="0.25">
      <c r="E2284" t="str">
        <f>""</f>
        <v/>
      </c>
      <c r="F2284" t="str">
        <f>""</f>
        <v/>
      </c>
      <c r="G2284" s="3">
        <v>1.75</v>
      </c>
      <c r="H2284" t="str">
        <f t="shared" si="41"/>
        <v>STERLING - FSA  FEES</v>
      </c>
    </row>
    <row r="2285" spans="5:8" x14ac:dyDescent="0.25">
      <c r="E2285" t="str">
        <f>""</f>
        <v/>
      </c>
      <c r="F2285" t="str">
        <f>""</f>
        <v/>
      </c>
      <c r="G2285" s="3">
        <v>1.75</v>
      </c>
      <c r="H2285" t="str">
        <f t="shared" si="41"/>
        <v>STERLING - FSA  FEES</v>
      </c>
    </row>
    <row r="2286" spans="5:8" x14ac:dyDescent="0.25">
      <c r="E2286" t="str">
        <f>""</f>
        <v/>
      </c>
      <c r="F2286" t="str">
        <f>""</f>
        <v/>
      </c>
      <c r="G2286" s="3">
        <v>1.75</v>
      </c>
      <c r="H2286" t="str">
        <f t="shared" si="41"/>
        <v>STERLING - FSA  FEES</v>
      </c>
    </row>
    <row r="2287" spans="5:8" x14ac:dyDescent="0.25">
      <c r="E2287" t="str">
        <f>""</f>
        <v/>
      </c>
      <c r="F2287" t="str">
        <f>""</f>
        <v/>
      </c>
      <c r="G2287" s="3">
        <v>32.46</v>
      </c>
      <c r="H2287" t="str">
        <f t="shared" si="41"/>
        <v>STERLING - FSA  FEES</v>
      </c>
    </row>
    <row r="2288" spans="5:8" x14ac:dyDescent="0.25">
      <c r="E2288" t="str">
        <f>""</f>
        <v/>
      </c>
      <c r="F2288" t="str">
        <f>""</f>
        <v/>
      </c>
      <c r="G2288" s="3">
        <v>3.45</v>
      </c>
      <c r="H2288" t="str">
        <f t="shared" si="41"/>
        <v>STERLING - FSA  FEES</v>
      </c>
    </row>
    <row r="2289" spans="5:8" x14ac:dyDescent="0.25">
      <c r="E2289" t="str">
        <f>""</f>
        <v/>
      </c>
      <c r="F2289" t="str">
        <f>""</f>
        <v/>
      </c>
      <c r="G2289" s="3">
        <v>35.65</v>
      </c>
      <c r="H2289" t="str">
        <f t="shared" si="41"/>
        <v>STERLING - FSA  FEES</v>
      </c>
    </row>
    <row r="2290" spans="5:8" x14ac:dyDescent="0.25">
      <c r="E2290" t="str">
        <f>""</f>
        <v/>
      </c>
      <c r="F2290" t="str">
        <f>""</f>
        <v/>
      </c>
      <c r="G2290" s="3">
        <v>5.25</v>
      </c>
      <c r="H2290" t="str">
        <f t="shared" si="41"/>
        <v>STERLING - FSA  FEES</v>
      </c>
    </row>
    <row r="2291" spans="5:8" x14ac:dyDescent="0.25">
      <c r="E2291" t="str">
        <f>""</f>
        <v/>
      </c>
      <c r="F2291" t="str">
        <f>""</f>
        <v/>
      </c>
      <c r="G2291" s="3">
        <v>1.75</v>
      </c>
      <c r="H2291" t="str">
        <f t="shared" si="41"/>
        <v>STERLING - FSA  FEES</v>
      </c>
    </row>
    <row r="2292" spans="5:8" x14ac:dyDescent="0.25">
      <c r="E2292" t="str">
        <f>""</f>
        <v/>
      </c>
      <c r="F2292" t="str">
        <f>""</f>
        <v/>
      </c>
      <c r="G2292" s="3">
        <v>3.5</v>
      </c>
      <c r="H2292" t="str">
        <f t="shared" si="41"/>
        <v>STERLING - FSA  FEES</v>
      </c>
    </row>
    <row r="2293" spans="5:8" x14ac:dyDescent="0.25">
      <c r="E2293" t="str">
        <f>""</f>
        <v/>
      </c>
      <c r="F2293" t="str">
        <f>""</f>
        <v/>
      </c>
      <c r="G2293" s="3">
        <v>0.44</v>
      </c>
      <c r="H2293" t="str">
        <f t="shared" si="41"/>
        <v>STERLING - FSA  FEES</v>
      </c>
    </row>
    <row r="2294" spans="5:8" x14ac:dyDescent="0.25">
      <c r="E2294" t="str">
        <f>""</f>
        <v/>
      </c>
      <c r="F2294" t="str">
        <f>""</f>
        <v/>
      </c>
      <c r="G2294" s="3">
        <v>1.75</v>
      </c>
      <c r="H2294" t="str">
        <f t="shared" si="41"/>
        <v>STERLING - FSA  FEES</v>
      </c>
    </row>
    <row r="2295" spans="5:8" x14ac:dyDescent="0.25">
      <c r="E2295" t="str">
        <f>""</f>
        <v/>
      </c>
      <c r="F2295" t="str">
        <f>""</f>
        <v/>
      </c>
      <c r="G2295" s="3">
        <v>1.75</v>
      </c>
      <c r="H2295" t="str">
        <f t="shared" si="41"/>
        <v>STERLING - FSA  FEES</v>
      </c>
    </row>
    <row r="2296" spans="5:8" x14ac:dyDescent="0.25">
      <c r="E2296" t="str">
        <f>""</f>
        <v/>
      </c>
      <c r="F2296" t="str">
        <f>""</f>
        <v/>
      </c>
      <c r="G2296" s="3">
        <v>1.9</v>
      </c>
      <c r="H2296" t="str">
        <f t="shared" si="41"/>
        <v>STERLING - FSA  FEES</v>
      </c>
    </row>
    <row r="2297" spans="5:8" x14ac:dyDescent="0.25">
      <c r="E2297" t="str">
        <f>""</f>
        <v/>
      </c>
      <c r="F2297" t="str">
        <f>""</f>
        <v/>
      </c>
      <c r="G2297" s="3">
        <v>1.75</v>
      </c>
      <c r="H2297" t="str">
        <f t="shared" si="41"/>
        <v>STERLING - FSA  FEES</v>
      </c>
    </row>
    <row r="2298" spans="5:8" x14ac:dyDescent="0.25">
      <c r="E2298" t="str">
        <f>""</f>
        <v/>
      </c>
      <c r="F2298" t="str">
        <f>""</f>
        <v/>
      </c>
      <c r="G2298" s="3">
        <v>7</v>
      </c>
      <c r="H2298" t="str">
        <f t="shared" si="41"/>
        <v>STERLING - FSA  FEES</v>
      </c>
    </row>
    <row r="2299" spans="5:8" x14ac:dyDescent="0.25">
      <c r="E2299" t="str">
        <f>""</f>
        <v/>
      </c>
      <c r="F2299" t="str">
        <f>""</f>
        <v/>
      </c>
      <c r="G2299" s="3">
        <v>7</v>
      </c>
      <c r="H2299" t="str">
        <f t="shared" si="41"/>
        <v>STERLING - FSA  FEES</v>
      </c>
    </row>
    <row r="2300" spans="5:8" x14ac:dyDescent="0.25">
      <c r="E2300" t="str">
        <f>""</f>
        <v/>
      </c>
      <c r="F2300" t="str">
        <f>""</f>
        <v/>
      </c>
      <c r="G2300" s="3">
        <v>1.75</v>
      </c>
      <c r="H2300" t="str">
        <f t="shared" si="41"/>
        <v>STERLING - FSA  FEES</v>
      </c>
    </row>
    <row r="2301" spans="5:8" x14ac:dyDescent="0.25">
      <c r="E2301" t="str">
        <f>""</f>
        <v/>
      </c>
      <c r="F2301" t="str">
        <f>""</f>
        <v/>
      </c>
      <c r="G2301" s="3">
        <v>3.06</v>
      </c>
      <c r="H2301" t="str">
        <f t="shared" si="41"/>
        <v>STERLING - FSA  FEES</v>
      </c>
    </row>
    <row r="2302" spans="5:8" x14ac:dyDescent="0.25">
      <c r="E2302" t="str">
        <f>""</f>
        <v/>
      </c>
      <c r="F2302" t="str">
        <f>""</f>
        <v/>
      </c>
      <c r="G2302" s="3">
        <v>1.94</v>
      </c>
      <c r="H2302" t="str">
        <f t="shared" si="41"/>
        <v>STERLING - FSA  FEES</v>
      </c>
    </row>
    <row r="2303" spans="5:8" x14ac:dyDescent="0.25">
      <c r="E2303" t="str">
        <f>""</f>
        <v/>
      </c>
      <c r="F2303" t="str">
        <f>""</f>
        <v/>
      </c>
      <c r="G2303" s="3">
        <v>0.56000000000000005</v>
      </c>
      <c r="H2303" t="str">
        <f t="shared" si="41"/>
        <v>STERLING - FSA  FEES</v>
      </c>
    </row>
    <row r="2304" spans="5:8" x14ac:dyDescent="0.25">
      <c r="E2304" t="str">
        <f>""</f>
        <v/>
      </c>
      <c r="F2304" t="str">
        <f>""</f>
        <v/>
      </c>
      <c r="G2304" s="3">
        <v>7.0000000000000007E-2</v>
      </c>
      <c r="H2304" t="str">
        <f t="shared" si="41"/>
        <v>STERLING - FSA  FEES</v>
      </c>
    </row>
    <row r="2305" spans="5:8" x14ac:dyDescent="0.25">
      <c r="E2305" t="str">
        <f>""</f>
        <v/>
      </c>
      <c r="F2305" t="str">
        <f>""</f>
        <v/>
      </c>
      <c r="G2305" s="3">
        <v>0.24</v>
      </c>
      <c r="H2305" t="str">
        <f t="shared" si="41"/>
        <v>STERLING - FSA  FEES</v>
      </c>
    </row>
    <row r="2306" spans="5:8" x14ac:dyDescent="0.25">
      <c r="E2306" t="str">
        <f>"FSF202109295921"</f>
        <v>FSF202109295921</v>
      </c>
      <c r="F2306" t="str">
        <f>"STERLING - FSA  FEES"</f>
        <v>STERLING - FSA  FEES</v>
      </c>
      <c r="G2306" s="3">
        <v>8.75</v>
      </c>
      <c r="H2306" t="str">
        <f t="shared" si="41"/>
        <v>STERLING - FSA  FEES</v>
      </c>
    </row>
    <row r="2307" spans="5:8" x14ac:dyDescent="0.25">
      <c r="E2307" t="str">
        <f>"HRF202109295920"</f>
        <v>HRF202109295920</v>
      </c>
      <c r="F2307" t="str">
        <f>"STERLING - HRA FEES"</f>
        <v>STERLING - HRA FEES</v>
      </c>
      <c r="G2307" s="3">
        <v>5.25</v>
      </c>
      <c r="H2307" t="str">
        <f t="shared" ref="H2307:H2359" si="42">"STERLING - HRA FEES"</f>
        <v>STERLING - HRA FEES</v>
      </c>
    </row>
    <row r="2308" spans="5:8" x14ac:dyDescent="0.25">
      <c r="E2308" t="str">
        <f>""</f>
        <v/>
      </c>
      <c r="F2308" t="str">
        <f>""</f>
        <v/>
      </c>
      <c r="G2308" s="3">
        <v>3.04</v>
      </c>
      <c r="H2308" t="str">
        <f t="shared" si="42"/>
        <v>STERLING - HRA FEES</v>
      </c>
    </row>
    <row r="2309" spans="5:8" x14ac:dyDescent="0.25">
      <c r="E2309" t="str">
        <f>""</f>
        <v/>
      </c>
      <c r="F2309" t="str">
        <f>""</f>
        <v/>
      </c>
      <c r="G2309" s="3">
        <v>15.57</v>
      </c>
      <c r="H2309" t="str">
        <f t="shared" si="42"/>
        <v>STERLING - HRA FEES</v>
      </c>
    </row>
    <row r="2310" spans="5:8" x14ac:dyDescent="0.25">
      <c r="E2310" t="str">
        <f>""</f>
        <v/>
      </c>
      <c r="F2310" t="str">
        <f>""</f>
        <v/>
      </c>
      <c r="G2310" s="3">
        <v>5.25</v>
      </c>
      <c r="H2310" t="str">
        <f t="shared" si="42"/>
        <v>STERLING - HRA FEES</v>
      </c>
    </row>
    <row r="2311" spans="5:8" x14ac:dyDescent="0.25">
      <c r="E2311" t="str">
        <f>""</f>
        <v/>
      </c>
      <c r="F2311" t="str">
        <f>""</f>
        <v/>
      </c>
      <c r="G2311" s="3">
        <v>3.5</v>
      </c>
      <c r="H2311" t="str">
        <f t="shared" si="42"/>
        <v>STERLING - HRA FEES</v>
      </c>
    </row>
    <row r="2312" spans="5:8" x14ac:dyDescent="0.25">
      <c r="E2312" t="str">
        <f>""</f>
        <v/>
      </c>
      <c r="F2312" t="str">
        <f>""</f>
        <v/>
      </c>
      <c r="G2312" s="3">
        <v>10.5</v>
      </c>
      <c r="H2312" t="str">
        <f t="shared" si="42"/>
        <v>STERLING - HRA FEES</v>
      </c>
    </row>
    <row r="2313" spans="5:8" x14ac:dyDescent="0.25">
      <c r="E2313" t="str">
        <f>""</f>
        <v/>
      </c>
      <c r="F2313" t="str">
        <f>""</f>
        <v/>
      </c>
      <c r="G2313" s="3">
        <v>36.75</v>
      </c>
      <c r="H2313" t="str">
        <f t="shared" si="42"/>
        <v>STERLING - HRA FEES</v>
      </c>
    </row>
    <row r="2314" spans="5:8" x14ac:dyDescent="0.25">
      <c r="E2314" t="str">
        <f>""</f>
        <v/>
      </c>
      <c r="F2314" t="str">
        <f>""</f>
        <v/>
      </c>
      <c r="G2314" s="3">
        <v>1.75</v>
      </c>
      <c r="H2314" t="str">
        <f t="shared" si="42"/>
        <v>STERLING - HRA FEES</v>
      </c>
    </row>
    <row r="2315" spans="5:8" x14ac:dyDescent="0.25">
      <c r="E2315" t="str">
        <f>""</f>
        <v/>
      </c>
      <c r="F2315" t="str">
        <f>""</f>
        <v/>
      </c>
      <c r="G2315" s="3">
        <v>6.76</v>
      </c>
      <c r="H2315" t="str">
        <f t="shared" si="42"/>
        <v>STERLING - HRA FEES</v>
      </c>
    </row>
    <row r="2316" spans="5:8" x14ac:dyDescent="0.25">
      <c r="E2316" t="str">
        <f>""</f>
        <v/>
      </c>
      <c r="F2316" t="str">
        <f>""</f>
        <v/>
      </c>
      <c r="G2316" s="3">
        <v>8.75</v>
      </c>
      <c r="H2316" t="str">
        <f t="shared" si="42"/>
        <v>STERLING - HRA FEES</v>
      </c>
    </row>
    <row r="2317" spans="5:8" x14ac:dyDescent="0.25">
      <c r="E2317" t="str">
        <f>""</f>
        <v/>
      </c>
      <c r="F2317" t="str">
        <f>""</f>
        <v/>
      </c>
      <c r="G2317" s="3">
        <v>28</v>
      </c>
      <c r="H2317" t="str">
        <f t="shared" si="42"/>
        <v>STERLING - HRA FEES</v>
      </c>
    </row>
    <row r="2318" spans="5:8" x14ac:dyDescent="0.25">
      <c r="E2318" t="str">
        <f>""</f>
        <v/>
      </c>
      <c r="F2318" t="str">
        <f>""</f>
        <v/>
      </c>
      <c r="G2318" s="3">
        <v>7</v>
      </c>
      <c r="H2318" t="str">
        <f t="shared" si="42"/>
        <v>STERLING - HRA FEES</v>
      </c>
    </row>
    <row r="2319" spans="5:8" x14ac:dyDescent="0.25">
      <c r="E2319" t="str">
        <f>""</f>
        <v/>
      </c>
      <c r="F2319" t="str">
        <f>""</f>
        <v/>
      </c>
      <c r="G2319" s="3">
        <v>5.25</v>
      </c>
      <c r="H2319" t="str">
        <f t="shared" si="42"/>
        <v>STERLING - HRA FEES</v>
      </c>
    </row>
    <row r="2320" spans="5:8" x14ac:dyDescent="0.25">
      <c r="E2320" t="str">
        <f>""</f>
        <v/>
      </c>
      <c r="F2320" t="str">
        <f>""</f>
        <v/>
      </c>
      <c r="G2320" s="3">
        <v>7</v>
      </c>
      <c r="H2320" t="str">
        <f t="shared" si="42"/>
        <v>STERLING - HRA FEES</v>
      </c>
    </row>
    <row r="2321" spans="5:8" x14ac:dyDescent="0.25">
      <c r="E2321" t="str">
        <f>""</f>
        <v/>
      </c>
      <c r="F2321" t="str">
        <f>""</f>
        <v/>
      </c>
      <c r="G2321" s="3">
        <v>7</v>
      </c>
      <c r="H2321" t="str">
        <f t="shared" si="42"/>
        <v>STERLING - HRA FEES</v>
      </c>
    </row>
    <row r="2322" spans="5:8" x14ac:dyDescent="0.25">
      <c r="E2322" t="str">
        <f>""</f>
        <v/>
      </c>
      <c r="F2322" t="str">
        <f>""</f>
        <v/>
      </c>
      <c r="G2322" s="3">
        <v>3.5</v>
      </c>
      <c r="H2322" t="str">
        <f t="shared" si="42"/>
        <v>STERLING - HRA FEES</v>
      </c>
    </row>
    <row r="2323" spans="5:8" x14ac:dyDescent="0.25">
      <c r="E2323" t="str">
        <f>""</f>
        <v/>
      </c>
      <c r="F2323" t="str">
        <f>""</f>
        <v/>
      </c>
      <c r="G2323" s="3">
        <v>28.91</v>
      </c>
      <c r="H2323" t="str">
        <f t="shared" si="42"/>
        <v>STERLING - HRA FEES</v>
      </c>
    </row>
    <row r="2324" spans="5:8" x14ac:dyDescent="0.25">
      <c r="E2324" t="str">
        <f>""</f>
        <v/>
      </c>
      <c r="F2324" t="str">
        <f>""</f>
        <v/>
      </c>
      <c r="G2324" s="3">
        <v>14</v>
      </c>
      <c r="H2324" t="str">
        <f t="shared" si="42"/>
        <v>STERLING - HRA FEES</v>
      </c>
    </row>
    <row r="2325" spans="5:8" x14ac:dyDescent="0.25">
      <c r="E2325" t="str">
        <f>""</f>
        <v/>
      </c>
      <c r="F2325" t="str">
        <f>""</f>
        <v/>
      </c>
      <c r="G2325" s="3">
        <v>7</v>
      </c>
      <c r="H2325" t="str">
        <f t="shared" si="42"/>
        <v>STERLING - HRA FEES</v>
      </c>
    </row>
    <row r="2326" spans="5:8" x14ac:dyDescent="0.25">
      <c r="E2326" t="str">
        <f>""</f>
        <v/>
      </c>
      <c r="F2326" t="str">
        <f>""</f>
        <v/>
      </c>
      <c r="G2326" s="3">
        <v>7</v>
      </c>
      <c r="H2326" t="str">
        <f t="shared" si="42"/>
        <v>STERLING - HRA FEES</v>
      </c>
    </row>
    <row r="2327" spans="5:8" x14ac:dyDescent="0.25">
      <c r="E2327" t="str">
        <f>""</f>
        <v/>
      </c>
      <c r="F2327" t="str">
        <f>""</f>
        <v/>
      </c>
      <c r="G2327" s="3">
        <v>22.75</v>
      </c>
      <c r="H2327" t="str">
        <f t="shared" si="42"/>
        <v>STERLING - HRA FEES</v>
      </c>
    </row>
    <row r="2328" spans="5:8" x14ac:dyDescent="0.25">
      <c r="E2328" t="str">
        <f>""</f>
        <v/>
      </c>
      <c r="F2328" t="str">
        <f>""</f>
        <v/>
      </c>
      <c r="G2328" s="3">
        <v>12.25</v>
      </c>
      <c r="H2328" t="str">
        <f t="shared" si="42"/>
        <v>STERLING - HRA FEES</v>
      </c>
    </row>
    <row r="2329" spans="5:8" x14ac:dyDescent="0.25">
      <c r="E2329" t="str">
        <f>""</f>
        <v/>
      </c>
      <c r="F2329" t="str">
        <f>""</f>
        <v/>
      </c>
      <c r="G2329" s="3">
        <v>21</v>
      </c>
      <c r="H2329" t="str">
        <f t="shared" si="42"/>
        <v>STERLING - HRA FEES</v>
      </c>
    </row>
    <row r="2330" spans="5:8" x14ac:dyDescent="0.25">
      <c r="E2330" t="str">
        <f>""</f>
        <v/>
      </c>
      <c r="F2330" t="str">
        <f>""</f>
        <v/>
      </c>
      <c r="G2330" s="3">
        <v>24.5</v>
      </c>
      <c r="H2330" t="str">
        <f t="shared" si="42"/>
        <v>STERLING - HRA FEES</v>
      </c>
    </row>
    <row r="2331" spans="5:8" x14ac:dyDescent="0.25">
      <c r="E2331" t="str">
        <f>""</f>
        <v/>
      </c>
      <c r="F2331" t="str">
        <f>""</f>
        <v/>
      </c>
      <c r="G2331" s="3">
        <v>43.78</v>
      </c>
      <c r="H2331" t="str">
        <f t="shared" si="42"/>
        <v>STERLING - HRA FEES</v>
      </c>
    </row>
    <row r="2332" spans="5:8" x14ac:dyDescent="0.25">
      <c r="E2332" t="str">
        <f>""</f>
        <v/>
      </c>
      <c r="F2332" t="str">
        <f>""</f>
        <v/>
      </c>
      <c r="G2332" s="3">
        <v>1.75</v>
      </c>
      <c r="H2332" t="str">
        <f t="shared" si="42"/>
        <v>STERLING - HRA FEES</v>
      </c>
    </row>
    <row r="2333" spans="5:8" x14ac:dyDescent="0.25">
      <c r="E2333" t="str">
        <f>""</f>
        <v/>
      </c>
      <c r="F2333" t="str">
        <f>""</f>
        <v/>
      </c>
      <c r="G2333" s="3">
        <v>1.75</v>
      </c>
      <c r="H2333" t="str">
        <f t="shared" si="42"/>
        <v>STERLING - HRA FEES</v>
      </c>
    </row>
    <row r="2334" spans="5:8" x14ac:dyDescent="0.25">
      <c r="E2334" t="str">
        <f>""</f>
        <v/>
      </c>
      <c r="F2334" t="str">
        <f>""</f>
        <v/>
      </c>
      <c r="G2334" s="3">
        <v>1.75</v>
      </c>
      <c r="H2334" t="str">
        <f t="shared" si="42"/>
        <v>STERLING - HRA FEES</v>
      </c>
    </row>
    <row r="2335" spans="5:8" x14ac:dyDescent="0.25">
      <c r="E2335" t="str">
        <f>""</f>
        <v/>
      </c>
      <c r="F2335" t="str">
        <f>""</f>
        <v/>
      </c>
      <c r="G2335" s="3">
        <v>1.75</v>
      </c>
      <c r="H2335" t="str">
        <f t="shared" si="42"/>
        <v>STERLING - HRA FEES</v>
      </c>
    </row>
    <row r="2336" spans="5:8" x14ac:dyDescent="0.25">
      <c r="E2336" t="str">
        <f>""</f>
        <v/>
      </c>
      <c r="F2336" t="str">
        <f>""</f>
        <v/>
      </c>
      <c r="G2336" s="3">
        <v>154.80000000000001</v>
      </c>
      <c r="H2336" t="str">
        <f t="shared" si="42"/>
        <v>STERLING - HRA FEES</v>
      </c>
    </row>
    <row r="2337" spans="5:8" x14ac:dyDescent="0.25">
      <c r="E2337" t="str">
        <f>""</f>
        <v/>
      </c>
      <c r="F2337" t="str">
        <f>""</f>
        <v/>
      </c>
      <c r="G2337" s="3">
        <v>6.9</v>
      </c>
      <c r="H2337" t="str">
        <f t="shared" si="42"/>
        <v>STERLING - HRA FEES</v>
      </c>
    </row>
    <row r="2338" spans="5:8" x14ac:dyDescent="0.25">
      <c r="E2338" t="str">
        <f>""</f>
        <v/>
      </c>
      <c r="F2338" t="str">
        <f>""</f>
        <v/>
      </c>
      <c r="G2338" s="3">
        <v>139.44999999999999</v>
      </c>
      <c r="H2338" t="str">
        <f t="shared" si="42"/>
        <v>STERLING - HRA FEES</v>
      </c>
    </row>
    <row r="2339" spans="5:8" x14ac:dyDescent="0.25">
      <c r="E2339" t="str">
        <f>""</f>
        <v/>
      </c>
      <c r="F2339" t="str">
        <f>""</f>
        <v/>
      </c>
      <c r="G2339" s="3">
        <v>31.5</v>
      </c>
      <c r="H2339" t="str">
        <f t="shared" si="42"/>
        <v>STERLING - HRA FEES</v>
      </c>
    </row>
    <row r="2340" spans="5:8" x14ac:dyDescent="0.25">
      <c r="E2340" t="str">
        <f>""</f>
        <v/>
      </c>
      <c r="F2340" t="str">
        <f>""</f>
        <v/>
      </c>
      <c r="G2340" s="3">
        <v>1.75</v>
      </c>
      <c r="H2340" t="str">
        <f t="shared" si="42"/>
        <v>STERLING - HRA FEES</v>
      </c>
    </row>
    <row r="2341" spans="5:8" x14ac:dyDescent="0.25">
      <c r="E2341" t="str">
        <f>""</f>
        <v/>
      </c>
      <c r="F2341" t="str">
        <f>""</f>
        <v/>
      </c>
      <c r="G2341" s="3">
        <v>5.25</v>
      </c>
      <c r="H2341" t="str">
        <f t="shared" si="42"/>
        <v>STERLING - HRA FEES</v>
      </c>
    </row>
    <row r="2342" spans="5:8" x14ac:dyDescent="0.25">
      <c r="E2342" t="str">
        <f>""</f>
        <v/>
      </c>
      <c r="F2342" t="str">
        <f>""</f>
        <v/>
      </c>
      <c r="G2342" s="3">
        <v>0.44</v>
      </c>
      <c r="H2342" t="str">
        <f t="shared" si="42"/>
        <v>STERLING - HRA FEES</v>
      </c>
    </row>
    <row r="2343" spans="5:8" x14ac:dyDescent="0.25">
      <c r="E2343" t="str">
        <f>""</f>
        <v/>
      </c>
      <c r="F2343" t="str">
        <f>""</f>
        <v/>
      </c>
      <c r="G2343" s="3">
        <v>5.25</v>
      </c>
      <c r="H2343" t="str">
        <f t="shared" si="42"/>
        <v>STERLING - HRA FEES</v>
      </c>
    </row>
    <row r="2344" spans="5:8" x14ac:dyDescent="0.25">
      <c r="E2344" t="str">
        <f>""</f>
        <v/>
      </c>
      <c r="F2344" t="str">
        <f>""</f>
        <v/>
      </c>
      <c r="G2344" s="3">
        <v>1.75</v>
      </c>
      <c r="H2344" t="str">
        <f t="shared" si="42"/>
        <v>STERLING - HRA FEES</v>
      </c>
    </row>
    <row r="2345" spans="5:8" x14ac:dyDescent="0.25">
      <c r="E2345" t="str">
        <f>""</f>
        <v/>
      </c>
      <c r="F2345" t="str">
        <f>""</f>
        <v/>
      </c>
      <c r="G2345" s="3">
        <v>5.25</v>
      </c>
      <c r="H2345" t="str">
        <f t="shared" si="42"/>
        <v>STERLING - HRA FEES</v>
      </c>
    </row>
    <row r="2346" spans="5:8" x14ac:dyDescent="0.25">
      <c r="E2346" t="str">
        <f>""</f>
        <v/>
      </c>
      <c r="F2346" t="str">
        <f>""</f>
        <v/>
      </c>
      <c r="G2346" s="3">
        <v>3.5</v>
      </c>
      <c r="H2346" t="str">
        <f t="shared" si="42"/>
        <v>STERLING - HRA FEES</v>
      </c>
    </row>
    <row r="2347" spans="5:8" x14ac:dyDescent="0.25">
      <c r="E2347" t="str">
        <f>""</f>
        <v/>
      </c>
      <c r="F2347" t="str">
        <f>""</f>
        <v/>
      </c>
      <c r="G2347" s="3">
        <v>1.93</v>
      </c>
      <c r="H2347" t="str">
        <f t="shared" si="42"/>
        <v>STERLING - HRA FEES</v>
      </c>
    </row>
    <row r="2348" spans="5:8" x14ac:dyDescent="0.25">
      <c r="E2348" t="str">
        <f>""</f>
        <v/>
      </c>
      <c r="F2348" t="str">
        <f>""</f>
        <v/>
      </c>
      <c r="G2348" s="3">
        <v>20.66</v>
      </c>
      <c r="H2348" t="str">
        <f t="shared" si="42"/>
        <v>STERLING - HRA FEES</v>
      </c>
    </row>
    <row r="2349" spans="5:8" x14ac:dyDescent="0.25">
      <c r="E2349" t="str">
        <f>""</f>
        <v/>
      </c>
      <c r="F2349" t="str">
        <f>""</f>
        <v/>
      </c>
      <c r="G2349" s="3">
        <v>25.93</v>
      </c>
      <c r="H2349" t="str">
        <f t="shared" si="42"/>
        <v>STERLING - HRA FEES</v>
      </c>
    </row>
    <row r="2350" spans="5:8" x14ac:dyDescent="0.25">
      <c r="E2350" t="str">
        <f>""</f>
        <v/>
      </c>
      <c r="F2350" t="str">
        <f>""</f>
        <v/>
      </c>
      <c r="G2350" s="3">
        <v>24.16</v>
      </c>
      <c r="H2350" t="str">
        <f t="shared" si="42"/>
        <v>STERLING - HRA FEES</v>
      </c>
    </row>
    <row r="2351" spans="5:8" x14ac:dyDescent="0.25">
      <c r="E2351" t="str">
        <f>""</f>
        <v/>
      </c>
      <c r="F2351" t="str">
        <f>""</f>
        <v/>
      </c>
      <c r="G2351" s="3">
        <v>25.93</v>
      </c>
      <c r="H2351" t="str">
        <f t="shared" si="42"/>
        <v>STERLING - HRA FEES</v>
      </c>
    </row>
    <row r="2352" spans="5:8" x14ac:dyDescent="0.25">
      <c r="E2352" t="str">
        <f>""</f>
        <v/>
      </c>
      <c r="F2352" t="str">
        <f>""</f>
        <v/>
      </c>
      <c r="G2352" s="3">
        <v>3.5</v>
      </c>
      <c r="H2352" t="str">
        <f t="shared" si="42"/>
        <v>STERLING - HRA FEES</v>
      </c>
    </row>
    <row r="2353" spans="1:8" x14ac:dyDescent="0.25">
      <c r="E2353" t="str">
        <f>""</f>
        <v/>
      </c>
      <c r="F2353" t="str">
        <f>""</f>
        <v/>
      </c>
      <c r="G2353" s="3">
        <v>3.06</v>
      </c>
      <c r="H2353" t="str">
        <f t="shared" si="42"/>
        <v>STERLING - HRA FEES</v>
      </c>
    </row>
    <row r="2354" spans="1:8" x14ac:dyDescent="0.25">
      <c r="E2354" t="str">
        <f>""</f>
        <v/>
      </c>
      <c r="F2354" t="str">
        <f>""</f>
        <v/>
      </c>
      <c r="G2354" s="3">
        <v>17.36</v>
      </c>
      <c r="H2354" t="str">
        <f t="shared" si="42"/>
        <v>STERLING - HRA FEES</v>
      </c>
    </row>
    <row r="2355" spans="1:8" x14ac:dyDescent="0.25">
      <c r="E2355" t="str">
        <f>""</f>
        <v/>
      </c>
      <c r="F2355" t="str">
        <f>""</f>
        <v/>
      </c>
      <c r="G2355" s="3">
        <v>0.62</v>
      </c>
      <c r="H2355" t="str">
        <f t="shared" si="42"/>
        <v>STERLING - HRA FEES</v>
      </c>
    </row>
    <row r="2356" spans="1:8" x14ac:dyDescent="0.25">
      <c r="E2356" t="str">
        <f>""</f>
        <v/>
      </c>
      <c r="F2356" t="str">
        <f>""</f>
        <v/>
      </c>
      <c r="G2356" s="3">
        <v>0.22</v>
      </c>
      <c r="H2356" t="str">
        <f t="shared" si="42"/>
        <v>STERLING - HRA FEES</v>
      </c>
    </row>
    <row r="2357" spans="1:8" x14ac:dyDescent="0.25">
      <c r="E2357" t="str">
        <f>""</f>
        <v/>
      </c>
      <c r="F2357" t="str">
        <f>""</f>
        <v/>
      </c>
      <c r="G2357" s="3">
        <v>0.24</v>
      </c>
      <c r="H2357" t="str">
        <f t="shared" si="42"/>
        <v>STERLING - HRA FEES</v>
      </c>
    </row>
    <row r="2358" spans="1:8" x14ac:dyDescent="0.25">
      <c r="E2358" t="str">
        <f>""</f>
        <v/>
      </c>
      <c r="F2358" t="str">
        <f>""</f>
        <v/>
      </c>
      <c r="G2358" s="3">
        <v>1.74</v>
      </c>
      <c r="H2358" t="str">
        <f t="shared" si="42"/>
        <v>STERLING - HRA FEES</v>
      </c>
    </row>
    <row r="2359" spans="1:8" x14ac:dyDescent="0.25">
      <c r="E2359" t="str">
        <f>"HRF202109295921"</f>
        <v>HRF202109295921</v>
      </c>
      <c r="F2359" t="str">
        <f>"STERLING - HRA FEES"</f>
        <v>STERLING - HRA FEES</v>
      </c>
      <c r="G2359" s="3">
        <v>26.25</v>
      </c>
      <c r="H2359" t="str">
        <f t="shared" si="42"/>
        <v>STERLING - HRA FEES</v>
      </c>
    </row>
    <row r="2360" spans="1:8" x14ac:dyDescent="0.25">
      <c r="A2360" t="s">
        <v>456</v>
      </c>
      <c r="B2360">
        <v>1351</v>
      </c>
      <c r="C2360" s="3">
        <v>15982.67</v>
      </c>
      <c r="D2360" s="4">
        <v>44482</v>
      </c>
      <c r="E2360" t="str">
        <f>"202110136440"</f>
        <v>202110136440</v>
      </c>
      <c r="F2360" t="str">
        <f>"STERLING FSA - INITIAL FUNDING"</f>
        <v>STERLING FSA - INITIAL FUNDING</v>
      </c>
      <c r="G2360" s="3">
        <v>15982.67</v>
      </c>
      <c r="H2360" t="str">
        <f>"STERLING FSA - INITIAL FUNDING"</f>
        <v>STERLING FSA - INITIAL FUNDING</v>
      </c>
    </row>
    <row r="2361" spans="1:8" x14ac:dyDescent="0.25">
      <c r="A2361" t="s">
        <v>456</v>
      </c>
      <c r="B2361">
        <v>1353</v>
      </c>
      <c r="C2361" s="3">
        <v>7680.45</v>
      </c>
      <c r="D2361" s="4">
        <v>44484</v>
      </c>
      <c r="E2361" t="str">
        <f>"FSA202110136441"</f>
        <v>FSA202110136441</v>
      </c>
      <c r="F2361" t="str">
        <f>"STERLING FSA"</f>
        <v>STERLING FSA</v>
      </c>
      <c r="G2361" s="3">
        <v>7270.45</v>
      </c>
      <c r="H2361" t="str">
        <f>"STERLING FSA"</f>
        <v>STERLING FSA</v>
      </c>
    </row>
    <row r="2362" spans="1:8" x14ac:dyDescent="0.25">
      <c r="E2362" t="str">
        <f>"FSA202110136442"</f>
        <v>FSA202110136442</v>
      </c>
      <c r="F2362" t="str">
        <f>"STERLING FSA"</f>
        <v>STERLING FSA</v>
      </c>
      <c r="G2362" s="3">
        <v>360</v>
      </c>
      <c r="H2362" t="str">
        <f>"STERLING FSA"</f>
        <v>STERLING FSA</v>
      </c>
    </row>
    <row r="2363" spans="1:8" x14ac:dyDescent="0.25">
      <c r="E2363" t="str">
        <f>"FSC202110136441"</f>
        <v>FSC202110136441</v>
      </c>
      <c r="F2363" t="str">
        <f>"STERLING DEPENDENT CARE"</f>
        <v>STERLING DEPENDENT CARE</v>
      </c>
      <c r="G2363" s="3">
        <v>50</v>
      </c>
      <c r="H2363" t="str">
        <f>"STERLING DEPENDENT CARE"</f>
        <v>STERLING DEPENDENT CARE</v>
      </c>
    </row>
    <row r="2364" spans="1:8" x14ac:dyDescent="0.25">
      <c r="A2364" t="s">
        <v>456</v>
      </c>
      <c r="B2364">
        <v>1354</v>
      </c>
      <c r="C2364" s="3">
        <v>1088.5</v>
      </c>
      <c r="D2364" s="4">
        <v>44484</v>
      </c>
      <c r="E2364" t="str">
        <f>"FSF202110136441"</f>
        <v>FSF202110136441</v>
      </c>
      <c r="F2364" t="str">
        <f>"STERLING - FSA  FEES"</f>
        <v>STERLING - FSA  FEES</v>
      </c>
      <c r="G2364" s="3">
        <v>8.6</v>
      </c>
      <c r="H2364" t="str">
        <f t="shared" ref="H2364:H2403" si="43">"STERLING - FSA  FEES"</f>
        <v>STERLING - FSA  FEES</v>
      </c>
    </row>
    <row r="2365" spans="1:8" x14ac:dyDescent="0.25">
      <c r="E2365" t="str">
        <f>""</f>
        <v/>
      </c>
      <c r="F2365" t="str">
        <f>""</f>
        <v/>
      </c>
      <c r="G2365" s="3">
        <v>2.6</v>
      </c>
      <c r="H2365" t="str">
        <f t="shared" si="43"/>
        <v>STERLING - FSA  FEES</v>
      </c>
    </row>
    <row r="2366" spans="1:8" x14ac:dyDescent="0.25">
      <c r="E2366" t="str">
        <f>""</f>
        <v/>
      </c>
      <c r="F2366" t="str">
        <f>""</f>
        <v/>
      </c>
      <c r="G2366" s="3">
        <v>10.5</v>
      </c>
      <c r="H2366" t="str">
        <f t="shared" si="43"/>
        <v>STERLING - FSA  FEES</v>
      </c>
    </row>
    <row r="2367" spans="1:8" x14ac:dyDescent="0.25">
      <c r="E2367" t="str">
        <f>""</f>
        <v/>
      </c>
      <c r="F2367" t="str">
        <f>""</f>
        <v/>
      </c>
      <c r="G2367" s="3">
        <v>1.75</v>
      </c>
      <c r="H2367" t="str">
        <f t="shared" si="43"/>
        <v>STERLING - FSA  FEES</v>
      </c>
    </row>
    <row r="2368" spans="1:8" x14ac:dyDescent="0.25">
      <c r="E2368" t="str">
        <f>""</f>
        <v/>
      </c>
      <c r="F2368" t="str">
        <f>""</f>
        <v/>
      </c>
      <c r="G2368" s="3">
        <v>5</v>
      </c>
      <c r="H2368" t="str">
        <f t="shared" si="43"/>
        <v>STERLING - FSA  FEES</v>
      </c>
    </row>
    <row r="2369" spans="5:8" x14ac:dyDescent="0.25">
      <c r="E2369" t="str">
        <f>""</f>
        <v/>
      </c>
      <c r="F2369" t="str">
        <f>""</f>
        <v/>
      </c>
      <c r="G2369" s="3">
        <v>1.75</v>
      </c>
      <c r="H2369" t="str">
        <f t="shared" si="43"/>
        <v>STERLING - FSA  FEES</v>
      </c>
    </row>
    <row r="2370" spans="5:8" x14ac:dyDescent="0.25">
      <c r="E2370" t="str">
        <f>""</f>
        <v/>
      </c>
      <c r="F2370" t="str">
        <f>""</f>
        <v/>
      </c>
      <c r="G2370" s="3">
        <v>8.75</v>
      </c>
      <c r="H2370" t="str">
        <f t="shared" si="43"/>
        <v>STERLING - FSA  FEES</v>
      </c>
    </row>
    <row r="2371" spans="5:8" x14ac:dyDescent="0.25">
      <c r="E2371" t="str">
        <f>""</f>
        <v/>
      </c>
      <c r="F2371" t="str">
        <f>""</f>
        <v/>
      </c>
      <c r="G2371" s="3">
        <v>5.25</v>
      </c>
      <c r="H2371" t="str">
        <f t="shared" si="43"/>
        <v>STERLING - FSA  FEES</v>
      </c>
    </row>
    <row r="2372" spans="5:8" x14ac:dyDescent="0.25">
      <c r="E2372" t="str">
        <f>""</f>
        <v/>
      </c>
      <c r="F2372" t="str">
        <f>""</f>
        <v/>
      </c>
      <c r="G2372" s="3">
        <v>3.5</v>
      </c>
      <c r="H2372" t="str">
        <f t="shared" si="43"/>
        <v>STERLING - FSA  FEES</v>
      </c>
    </row>
    <row r="2373" spans="5:8" x14ac:dyDescent="0.25">
      <c r="E2373" t="str">
        <f>""</f>
        <v/>
      </c>
      <c r="F2373" t="str">
        <f>""</f>
        <v/>
      </c>
      <c r="G2373" s="3">
        <v>1.75</v>
      </c>
      <c r="H2373" t="str">
        <f t="shared" si="43"/>
        <v>STERLING - FSA  FEES</v>
      </c>
    </row>
    <row r="2374" spans="5:8" x14ac:dyDescent="0.25">
      <c r="E2374" t="str">
        <f>""</f>
        <v/>
      </c>
      <c r="F2374" t="str">
        <f>""</f>
        <v/>
      </c>
      <c r="G2374" s="3">
        <v>15.67</v>
      </c>
      <c r="H2374" t="str">
        <f t="shared" si="43"/>
        <v>STERLING - FSA  FEES</v>
      </c>
    </row>
    <row r="2375" spans="5:8" x14ac:dyDescent="0.25">
      <c r="E2375" t="str">
        <f>""</f>
        <v/>
      </c>
      <c r="F2375" t="str">
        <f>""</f>
        <v/>
      </c>
      <c r="G2375" s="3">
        <v>3.5</v>
      </c>
      <c r="H2375" t="str">
        <f t="shared" si="43"/>
        <v>STERLING - FSA  FEES</v>
      </c>
    </row>
    <row r="2376" spans="5:8" x14ac:dyDescent="0.25">
      <c r="E2376" t="str">
        <f>""</f>
        <v/>
      </c>
      <c r="F2376" t="str">
        <f>""</f>
        <v/>
      </c>
      <c r="G2376" s="3">
        <v>3.5</v>
      </c>
      <c r="H2376" t="str">
        <f t="shared" si="43"/>
        <v>STERLING - FSA  FEES</v>
      </c>
    </row>
    <row r="2377" spans="5:8" x14ac:dyDescent="0.25">
      <c r="E2377" t="str">
        <f>""</f>
        <v/>
      </c>
      <c r="F2377" t="str">
        <f>""</f>
        <v/>
      </c>
      <c r="G2377" s="3">
        <v>1.75</v>
      </c>
      <c r="H2377" t="str">
        <f t="shared" si="43"/>
        <v>STERLING - FSA  FEES</v>
      </c>
    </row>
    <row r="2378" spans="5:8" x14ac:dyDescent="0.25">
      <c r="E2378" t="str">
        <f>""</f>
        <v/>
      </c>
      <c r="F2378" t="str">
        <f>""</f>
        <v/>
      </c>
      <c r="G2378" s="3">
        <v>3.5</v>
      </c>
      <c r="H2378" t="str">
        <f t="shared" si="43"/>
        <v>STERLING - FSA  FEES</v>
      </c>
    </row>
    <row r="2379" spans="5:8" x14ac:dyDescent="0.25">
      <c r="E2379" t="str">
        <f>""</f>
        <v/>
      </c>
      <c r="F2379" t="str">
        <f>""</f>
        <v/>
      </c>
      <c r="G2379" s="3">
        <v>3.5</v>
      </c>
      <c r="H2379" t="str">
        <f t="shared" si="43"/>
        <v>STERLING - FSA  FEES</v>
      </c>
    </row>
    <row r="2380" spans="5:8" x14ac:dyDescent="0.25">
      <c r="E2380" t="str">
        <f>""</f>
        <v/>
      </c>
      <c r="F2380" t="str">
        <f>""</f>
        <v/>
      </c>
      <c r="G2380" s="3">
        <v>14</v>
      </c>
      <c r="H2380" t="str">
        <f t="shared" si="43"/>
        <v>STERLING - FSA  FEES</v>
      </c>
    </row>
    <row r="2381" spans="5:8" x14ac:dyDescent="0.25">
      <c r="E2381" t="str">
        <f>""</f>
        <v/>
      </c>
      <c r="F2381" t="str">
        <f>""</f>
        <v/>
      </c>
      <c r="G2381" s="3">
        <v>3.5</v>
      </c>
      <c r="H2381" t="str">
        <f t="shared" si="43"/>
        <v>STERLING - FSA  FEES</v>
      </c>
    </row>
    <row r="2382" spans="5:8" x14ac:dyDescent="0.25">
      <c r="E2382" t="str">
        <f>""</f>
        <v/>
      </c>
      <c r="F2382" t="str">
        <f>""</f>
        <v/>
      </c>
      <c r="G2382" s="3">
        <v>14</v>
      </c>
      <c r="H2382" t="str">
        <f t="shared" si="43"/>
        <v>STERLING - FSA  FEES</v>
      </c>
    </row>
    <row r="2383" spans="5:8" x14ac:dyDescent="0.25">
      <c r="E2383" t="str">
        <f>""</f>
        <v/>
      </c>
      <c r="F2383" t="str">
        <f>""</f>
        <v/>
      </c>
      <c r="G2383" s="3">
        <v>1.75</v>
      </c>
      <c r="H2383" t="str">
        <f t="shared" si="43"/>
        <v>STERLING - FSA  FEES</v>
      </c>
    </row>
    <row r="2384" spans="5:8" x14ac:dyDescent="0.25">
      <c r="E2384" t="str">
        <f>""</f>
        <v/>
      </c>
      <c r="F2384" t="str">
        <f>""</f>
        <v/>
      </c>
      <c r="G2384" s="3">
        <v>1.75</v>
      </c>
      <c r="H2384" t="str">
        <f t="shared" si="43"/>
        <v>STERLING - FSA  FEES</v>
      </c>
    </row>
    <row r="2385" spans="5:8" x14ac:dyDescent="0.25">
      <c r="E2385" t="str">
        <f>""</f>
        <v/>
      </c>
      <c r="F2385" t="str">
        <f>""</f>
        <v/>
      </c>
      <c r="G2385" s="3">
        <v>1.75</v>
      </c>
      <c r="H2385" t="str">
        <f t="shared" si="43"/>
        <v>STERLING - FSA  FEES</v>
      </c>
    </row>
    <row r="2386" spans="5:8" x14ac:dyDescent="0.25">
      <c r="E2386" t="str">
        <f>""</f>
        <v/>
      </c>
      <c r="F2386" t="str">
        <f>""</f>
        <v/>
      </c>
      <c r="G2386" s="3">
        <v>33.72</v>
      </c>
      <c r="H2386" t="str">
        <f t="shared" si="43"/>
        <v>STERLING - FSA  FEES</v>
      </c>
    </row>
    <row r="2387" spans="5:8" x14ac:dyDescent="0.25">
      <c r="E2387" t="str">
        <f>""</f>
        <v/>
      </c>
      <c r="F2387" t="str">
        <f>""</f>
        <v/>
      </c>
      <c r="G2387" s="3">
        <v>3.45</v>
      </c>
      <c r="H2387" t="str">
        <f t="shared" si="43"/>
        <v>STERLING - FSA  FEES</v>
      </c>
    </row>
    <row r="2388" spans="5:8" x14ac:dyDescent="0.25">
      <c r="E2388" t="str">
        <f>""</f>
        <v/>
      </c>
      <c r="F2388" t="str">
        <f>""</f>
        <v/>
      </c>
      <c r="G2388" s="3">
        <v>36.33</v>
      </c>
      <c r="H2388" t="str">
        <f t="shared" si="43"/>
        <v>STERLING - FSA  FEES</v>
      </c>
    </row>
    <row r="2389" spans="5:8" x14ac:dyDescent="0.25">
      <c r="E2389" t="str">
        <f>""</f>
        <v/>
      </c>
      <c r="F2389" t="str">
        <f>""</f>
        <v/>
      </c>
      <c r="G2389" s="3">
        <v>5.25</v>
      </c>
      <c r="H2389" t="str">
        <f t="shared" si="43"/>
        <v>STERLING - FSA  FEES</v>
      </c>
    </row>
    <row r="2390" spans="5:8" x14ac:dyDescent="0.25">
      <c r="E2390" t="str">
        <f>""</f>
        <v/>
      </c>
      <c r="F2390" t="str">
        <f>""</f>
        <v/>
      </c>
      <c r="G2390" s="3">
        <v>1.75</v>
      </c>
      <c r="H2390" t="str">
        <f t="shared" si="43"/>
        <v>STERLING - FSA  FEES</v>
      </c>
    </row>
    <row r="2391" spans="5:8" x14ac:dyDescent="0.25">
      <c r="E2391" t="str">
        <f>""</f>
        <v/>
      </c>
      <c r="F2391" t="str">
        <f>""</f>
        <v/>
      </c>
      <c r="G2391" s="3">
        <v>3.5</v>
      </c>
      <c r="H2391" t="str">
        <f t="shared" si="43"/>
        <v>STERLING - FSA  FEES</v>
      </c>
    </row>
    <row r="2392" spans="5:8" x14ac:dyDescent="0.25">
      <c r="E2392" t="str">
        <f>""</f>
        <v/>
      </c>
      <c r="F2392" t="str">
        <f>""</f>
        <v/>
      </c>
      <c r="G2392" s="3">
        <v>0.46</v>
      </c>
      <c r="H2392" t="str">
        <f t="shared" si="43"/>
        <v>STERLING - FSA  FEES</v>
      </c>
    </row>
    <row r="2393" spans="5:8" x14ac:dyDescent="0.25">
      <c r="E2393" t="str">
        <f>""</f>
        <v/>
      </c>
      <c r="F2393" t="str">
        <f>""</f>
        <v/>
      </c>
      <c r="G2393" s="3">
        <v>1.75</v>
      </c>
      <c r="H2393" t="str">
        <f t="shared" si="43"/>
        <v>STERLING - FSA  FEES</v>
      </c>
    </row>
    <row r="2394" spans="5:8" x14ac:dyDescent="0.25">
      <c r="E2394" t="str">
        <f>""</f>
        <v/>
      </c>
      <c r="F2394" t="str">
        <f>""</f>
        <v/>
      </c>
      <c r="G2394" s="3">
        <v>3.5</v>
      </c>
      <c r="H2394" t="str">
        <f t="shared" si="43"/>
        <v>STERLING - FSA  FEES</v>
      </c>
    </row>
    <row r="2395" spans="5:8" x14ac:dyDescent="0.25">
      <c r="E2395" t="str">
        <f>""</f>
        <v/>
      </c>
      <c r="F2395" t="str">
        <f>""</f>
        <v/>
      </c>
      <c r="G2395" s="3">
        <v>1.9</v>
      </c>
      <c r="H2395" t="str">
        <f t="shared" si="43"/>
        <v>STERLING - FSA  FEES</v>
      </c>
    </row>
    <row r="2396" spans="5:8" x14ac:dyDescent="0.25">
      <c r="E2396" t="str">
        <f>""</f>
        <v/>
      </c>
      <c r="F2396" t="str">
        <f>""</f>
        <v/>
      </c>
      <c r="G2396" s="3">
        <v>1.75</v>
      </c>
      <c r="H2396" t="str">
        <f t="shared" si="43"/>
        <v>STERLING - FSA  FEES</v>
      </c>
    </row>
    <row r="2397" spans="5:8" x14ac:dyDescent="0.25">
      <c r="E2397" t="str">
        <f>""</f>
        <v/>
      </c>
      <c r="F2397" t="str">
        <f>""</f>
        <v/>
      </c>
      <c r="G2397" s="3">
        <v>7</v>
      </c>
      <c r="H2397" t="str">
        <f t="shared" si="43"/>
        <v>STERLING - FSA  FEES</v>
      </c>
    </row>
    <row r="2398" spans="5:8" x14ac:dyDescent="0.25">
      <c r="E2398" t="str">
        <f>""</f>
        <v/>
      </c>
      <c r="F2398" t="str">
        <f>""</f>
        <v/>
      </c>
      <c r="G2398" s="3">
        <v>7.9</v>
      </c>
      <c r="H2398" t="str">
        <f t="shared" si="43"/>
        <v>STERLING - FSA  FEES</v>
      </c>
    </row>
    <row r="2399" spans="5:8" x14ac:dyDescent="0.25">
      <c r="E2399" t="str">
        <f>""</f>
        <v/>
      </c>
      <c r="F2399" t="str">
        <f>""</f>
        <v/>
      </c>
      <c r="G2399" s="3">
        <v>3.04</v>
      </c>
      <c r="H2399" t="str">
        <f t="shared" si="43"/>
        <v>STERLING - FSA  FEES</v>
      </c>
    </row>
    <row r="2400" spans="5:8" x14ac:dyDescent="0.25">
      <c r="E2400" t="str">
        <f>""</f>
        <v/>
      </c>
      <c r="F2400" t="str">
        <f>""</f>
        <v/>
      </c>
      <c r="G2400" s="3">
        <v>0.02</v>
      </c>
      <c r="H2400" t="str">
        <f t="shared" si="43"/>
        <v>STERLING - FSA  FEES</v>
      </c>
    </row>
    <row r="2401" spans="5:8" x14ac:dyDescent="0.25">
      <c r="E2401" t="str">
        <f>""</f>
        <v/>
      </c>
      <c r="F2401" t="str">
        <f>""</f>
        <v/>
      </c>
      <c r="G2401" s="3">
        <v>0.06</v>
      </c>
      <c r="H2401" t="str">
        <f t="shared" si="43"/>
        <v>STERLING - FSA  FEES</v>
      </c>
    </row>
    <row r="2402" spans="5:8" x14ac:dyDescent="0.25">
      <c r="E2402" t="str">
        <f>""</f>
        <v/>
      </c>
      <c r="F2402" t="str">
        <f>""</f>
        <v/>
      </c>
      <c r="G2402" s="3">
        <v>0.25</v>
      </c>
      <c r="H2402" t="str">
        <f t="shared" si="43"/>
        <v>STERLING - FSA  FEES</v>
      </c>
    </row>
    <row r="2403" spans="5:8" x14ac:dyDescent="0.25">
      <c r="E2403" t="str">
        <f>"FSF202110136442"</f>
        <v>FSF202110136442</v>
      </c>
      <c r="F2403" t="str">
        <f>"STERLING - FSA  FEES"</f>
        <v>STERLING - FSA  FEES</v>
      </c>
      <c r="G2403" s="3">
        <v>8.75</v>
      </c>
      <c r="H2403" t="str">
        <f t="shared" si="43"/>
        <v>STERLING - FSA  FEES</v>
      </c>
    </row>
    <row r="2404" spans="5:8" x14ac:dyDescent="0.25">
      <c r="E2404" t="str">
        <f>"HRF202110136441"</f>
        <v>HRF202110136441</v>
      </c>
      <c r="F2404" t="str">
        <f>"STERLING - HRA FEES"</f>
        <v>STERLING - HRA FEES</v>
      </c>
      <c r="G2404" s="3">
        <v>5.25</v>
      </c>
      <c r="H2404" t="str">
        <f t="shared" ref="H2404:H2454" si="44">"STERLING - HRA FEES"</f>
        <v>STERLING - HRA FEES</v>
      </c>
    </row>
    <row r="2405" spans="5:8" x14ac:dyDescent="0.25">
      <c r="E2405" t="str">
        <f>""</f>
        <v/>
      </c>
      <c r="F2405" t="str">
        <f>""</f>
        <v/>
      </c>
      <c r="G2405" s="3">
        <v>3.04</v>
      </c>
      <c r="H2405" t="str">
        <f t="shared" si="44"/>
        <v>STERLING - HRA FEES</v>
      </c>
    </row>
    <row r="2406" spans="5:8" x14ac:dyDescent="0.25">
      <c r="E2406" t="str">
        <f>""</f>
        <v/>
      </c>
      <c r="F2406" t="str">
        <f>""</f>
        <v/>
      </c>
      <c r="G2406" s="3">
        <v>15.55</v>
      </c>
      <c r="H2406" t="str">
        <f t="shared" si="44"/>
        <v>STERLING - HRA FEES</v>
      </c>
    </row>
    <row r="2407" spans="5:8" x14ac:dyDescent="0.25">
      <c r="E2407" t="str">
        <f>""</f>
        <v/>
      </c>
      <c r="F2407" t="str">
        <f>""</f>
        <v/>
      </c>
      <c r="G2407" s="3">
        <v>5.25</v>
      </c>
      <c r="H2407" t="str">
        <f t="shared" si="44"/>
        <v>STERLING - HRA FEES</v>
      </c>
    </row>
    <row r="2408" spans="5:8" x14ac:dyDescent="0.25">
      <c r="E2408" t="str">
        <f>""</f>
        <v/>
      </c>
      <c r="F2408" t="str">
        <f>""</f>
        <v/>
      </c>
      <c r="G2408" s="3">
        <v>3.5</v>
      </c>
      <c r="H2408" t="str">
        <f t="shared" si="44"/>
        <v>STERLING - HRA FEES</v>
      </c>
    </row>
    <row r="2409" spans="5:8" x14ac:dyDescent="0.25">
      <c r="E2409" t="str">
        <f>""</f>
        <v/>
      </c>
      <c r="F2409" t="str">
        <f>""</f>
        <v/>
      </c>
      <c r="G2409" s="3">
        <v>9.6</v>
      </c>
      <c r="H2409" t="str">
        <f t="shared" si="44"/>
        <v>STERLING - HRA FEES</v>
      </c>
    </row>
    <row r="2410" spans="5:8" x14ac:dyDescent="0.25">
      <c r="E2410" t="str">
        <f>""</f>
        <v/>
      </c>
      <c r="F2410" t="str">
        <f>""</f>
        <v/>
      </c>
      <c r="G2410" s="3">
        <v>36.75</v>
      </c>
      <c r="H2410" t="str">
        <f t="shared" si="44"/>
        <v>STERLING - HRA FEES</v>
      </c>
    </row>
    <row r="2411" spans="5:8" x14ac:dyDescent="0.25">
      <c r="E2411" t="str">
        <f>""</f>
        <v/>
      </c>
      <c r="F2411" t="str">
        <f>""</f>
        <v/>
      </c>
      <c r="G2411" s="3">
        <v>1.75</v>
      </c>
      <c r="H2411" t="str">
        <f t="shared" si="44"/>
        <v>STERLING - HRA FEES</v>
      </c>
    </row>
    <row r="2412" spans="5:8" x14ac:dyDescent="0.25">
      <c r="E2412" t="str">
        <f>""</f>
        <v/>
      </c>
      <c r="F2412" t="str">
        <f>""</f>
        <v/>
      </c>
      <c r="G2412" s="3">
        <v>6.75</v>
      </c>
      <c r="H2412" t="str">
        <f t="shared" si="44"/>
        <v>STERLING - HRA FEES</v>
      </c>
    </row>
    <row r="2413" spans="5:8" x14ac:dyDescent="0.25">
      <c r="E2413" t="str">
        <f>""</f>
        <v/>
      </c>
      <c r="F2413" t="str">
        <f>""</f>
        <v/>
      </c>
      <c r="G2413" s="3">
        <v>8.91</v>
      </c>
      <c r="H2413" t="str">
        <f t="shared" si="44"/>
        <v>STERLING - HRA FEES</v>
      </c>
    </row>
    <row r="2414" spans="5:8" x14ac:dyDescent="0.25">
      <c r="E2414" t="str">
        <f>""</f>
        <v/>
      </c>
      <c r="F2414" t="str">
        <f>""</f>
        <v/>
      </c>
      <c r="G2414" s="3">
        <v>28</v>
      </c>
      <c r="H2414" t="str">
        <f t="shared" si="44"/>
        <v>STERLING - HRA FEES</v>
      </c>
    </row>
    <row r="2415" spans="5:8" x14ac:dyDescent="0.25">
      <c r="E2415" t="str">
        <f>""</f>
        <v/>
      </c>
      <c r="F2415" t="str">
        <f>""</f>
        <v/>
      </c>
      <c r="G2415" s="3">
        <v>7</v>
      </c>
      <c r="H2415" t="str">
        <f t="shared" si="44"/>
        <v>STERLING - HRA FEES</v>
      </c>
    </row>
    <row r="2416" spans="5:8" x14ac:dyDescent="0.25">
      <c r="E2416" t="str">
        <f>""</f>
        <v/>
      </c>
      <c r="F2416" t="str">
        <f>""</f>
        <v/>
      </c>
      <c r="G2416" s="3">
        <v>7</v>
      </c>
      <c r="H2416" t="str">
        <f t="shared" si="44"/>
        <v>STERLING - HRA FEES</v>
      </c>
    </row>
    <row r="2417" spans="5:8" x14ac:dyDescent="0.25">
      <c r="E2417" t="str">
        <f>""</f>
        <v/>
      </c>
      <c r="F2417" t="str">
        <f>""</f>
        <v/>
      </c>
      <c r="G2417" s="3">
        <v>7</v>
      </c>
      <c r="H2417" t="str">
        <f t="shared" si="44"/>
        <v>STERLING - HRA FEES</v>
      </c>
    </row>
    <row r="2418" spans="5:8" x14ac:dyDescent="0.25">
      <c r="E2418" t="str">
        <f>""</f>
        <v/>
      </c>
      <c r="F2418" t="str">
        <f>""</f>
        <v/>
      </c>
      <c r="G2418" s="3">
        <v>7</v>
      </c>
      <c r="H2418" t="str">
        <f t="shared" si="44"/>
        <v>STERLING - HRA FEES</v>
      </c>
    </row>
    <row r="2419" spans="5:8" x14ac:dyDescent="0.25">
      <c r="E2419" t="str">
        <f>""</f>
        <v/>
      </c>
      <c r="F2419" t="str">
        <f>""</f>
        <v/>
      </c>
      <c r="G2419" s="3">
        <v>3.5</v>
      </c>
      <c r="H2419" t="str">
        <f t="shared" si="44"/>
        <v>STERLING - HRA FEES</v>
      </c>
    </row>
    <row r="2420" spans="5:8" x14ac:dyDescent="0.25">
      <c r="E2420" t="str">
        <f>""</f>
        <v/>
      </c>
      <c r="F2420" t="str">
        <f>""</f>
        <v/>
      </c>
      <c r="G2420" s="3">
        <v>29.47</v>
      </c>
      <c r="H2420" t="str">
        <f t="shared" si="44"/>
        <v>STERLING - HRA FEES</v>
      </c>
    </row>
    <row r="2421" spans="5:8" x14ac:dyDescent="0.25">
      <c r="E2421" t="str">
        <f>""</f>
        <v/>
      </c>
      <c r="F2421" t="str">
        <f>""</f>
        <v/>
      </c>
      <c r="G2421" s="3">
        <v>14</v>
      </c>
      <c r="H2421" t="str">
        <f t="shared" si="44"/>
        <v>STERLING - HRA FEES</v>
      </c>
    </row>
    <row r="2422" spans="5:8" x14ac:dyDescent="0.25">
      <c r="E2422" t="str">
        <f>""</f>
        <v/>
      </c>
      <c r="F2422" t="str">
        <f>""</f>
        <v/>
      </c>
      <c r="G2422" s="3">
        <v>7</v>
      </c>
      <c r="H2422" t="str">
        <f t="shared" si="44"/>
        <v>STERLING - HRA FEES</v>
      </c>
    </row>
    <row r="2423" spans="5:8" x14ac:dyDescent="0.25">
      <c r="E2423" t="str">
        <f>""</f>
        <v/>
      </c>
      <c r="F2423" t="str">
        <f>""</f>
        <v/>
      </c>
      <c r="G2423" s="3">
        <v>7</v>
      </c>
      <c r="H2423" t="str">
        <f t="shared" si="44"/>
        <v>STERLING - HRA FEES</v>
      </c>
    </row>
    <row r="2424" spans="5:8" x14ac:dyDescent="0.25">
      <c r="E2424" t="str">
        <f>""</f>
        <v/>
      </c>
      <c r="F2424" t="str">
        <f>""</f>
        <v/>
      </c>
      <c r="G2424" s="3">
        <v>22.75</v>
      </c>
      <c r="H2424" t="str">
        <f t="shared" si="44"/>
        <v>STERLING - HRA FEES</v>
      </c>
    </row>
    <row r="2425" spans="5:8" x14ac:dyDescent="0.25">
      <c r="E2425" t="str">
        <f>""</f>
        <v/>
      </c>
      <c r="F2425" t="str">
        <f>""</f>
        <v/>
      </c>
      <c r="G2425" s="3">
        <v>12.25</v>
      </c>
      <c r="H2425" t="str">
        <f t="shared" si="44"/>
        <v>STERLING - HRA FEES</v>
      </c>
    </row>
    <row r="2426" spans="5:8" x14ac:dyDescent="0.25">
      <c r="E2426" t="str">
        <f>""</f>
        <v/>
      </c>
      <c r="F2426" t="str">
        <f>""</f>
        <v/>
      </c>
      <c r="G2426" s="3">
        <v>21</v>
      </c>
      <c r="H2426" t="str">
        <f t="shared" si="44"/>
        <v>STERLING - HRA FEES</v>
      </c>
    </row>
    <row r="2427" spans="5:8" x14ac:dyDescent="0.25">
      <c r="E2427" t="str">
        <f>""</f>
        <v/>
      </c>
      <c r="F2427" t="str">
        <f>""</f>
        <v/>
      </c>
      <c r="G2427" s="3">
        <v>24.5</v>
      </c>
      <c r="H2427" t="str">
        <f t="shared" si="44"/>
        <v>STERLING - HRA FEES</v>
      </c>
    </row>
    <row r="2428" spans="5:8" x14ac:dyDescent="0.25">
      <c r="E2428" t="str">
        <f>""</f>
        <v/>
      </c>
      <c r="F2428" t="str">
        <f>""</f>
        <v/>
      </c>
      <c r="G2428" s="3">
        <v>43.78</v>
      </c>
      <c r="H2428" t="str">
        <f t="shared" si="44"/>
        <v>STERLING - HRA FEES</v>
      </c>
    </row>
    <row r="2429" spans="5:8" x14ac:dyDescent="0.25">
      <c r="E2429" t="str">
        <f>""</f>
        <v/>
      </c>
      <c r="F2429" t="str">
        <f>""</f>
        <v/>
      </c>
      <c r="G2429" s="3">
        <v>1.75</v>
      </c>
      <c r="H2429" t="str">
        <f t="shared" si="44"/>
        <v>STERLING - HRA FEES</v>
      </c>
    </row>
    <row r="2430" spans="5:8" x14ac:dyDescent="0.25">
      <c r="E2430" t="str">
        <f>""</f>
        <v/>
      </c>
      <c r="F2430" t="str">
        <f>""</f>
        <v/>
      </c>
      <c r="G2430" s="3">
        <v>1.75</v>
      </c>
      <c r="H2430" t="str">
        <f t="shared" si="44"/>
        <v>STERLING - HRA FEES</v>
      </c>
    </row>
    <row r="2431" spans="5:8" x14ac:dyDescent="0.25">
      <c r="E2431" t="str">
        <f>""</f>
        <v/>
      </c>
      <c r="F2431" t="str">
        <f>""</f>
        <v/>
      </c>
      <c r="G2431" s="3">
        <v>1.75</v>
      </c>
      <c r="H2431" t="str">
        <f t="shared" si="44"/>
        <v>STERLING - HRA FEES</v>
      </c>
    </row>
    <row r="2432" spans="5:8" x14ac:dyDescent="0.25">
      <c r="E2432" t="str">
        <f>""</f>
        <v/>
      </c>
      <c r="F2432" t="str">
        <f>""</f>
        <v/>
      </c>
      <c r="G2432" s="3">
        <v>1.75</v>
      </c>
      <c r="H2432" t="str">
        <f t="shared" si="44"/>
        <v>STERLING - HRA FEES</v>
      </c>
    </row>
    <row r="2433" spans="5:8" x14ac:dyDescent="0.25">
      <c r="E2433" t="str">
        <f>""</f>
        <v/>
      </c>
      <c r="F2433" t="str">
        <f>""</f>
        <v/>
      </c>
      <c r="G2433" s="3">
        <v>166.27</v>
      </c>
      <c r="H2433" t="str">
        <f t="shared" si="44"/>
        <v>STERLING - HRA FEES</v>
      </c>
    </row>
    <row r="2434" spans="5:8" x14ac:dyDescent="0.25">
      <c r="E2434" t="str">
        <f>""</f>
        <v/>
      </c>
      <c r="F2434" t="str">
        <f>""</f>
        <v/>
      </c>
      <c r="G2434" s="3">
        <v>6.9</v>
      </c>
      <c r="H2434" t="str">
        <f t="shared" si="44"/>
        <v>STERLING - HRA FEES</v>
      </c>
    </row>
    <row r="2435" spans="5:8" x14ac:dyDescent="0.25">
      <c r="E2435" t="str">
        <f>""</f>
        <v/>
      </c>
      <c r="F2435" t="str">
        <f>""</f>
        <v/>
      </c>
      <c r="G2435" s="3">
        <v>143.43</v>
      </c>
      <c r="H2435" t="str">
        <f t="shared" si="44"/>
        <v>STERLING - HRA FEES</v>
      </c>
    </row>
    <row r="2436" spans="5:8" x14ac:dyDescent="0.25">
      <c r="E2436" t="str">
        <f>""</f>
        <v/>
      </c>
      <c r="F2436" t="str">
        <f>""</f>
        <v/>
      </c>
      <c r="G2436" s="3">
        <v>31.5</v>
      </c>
      <c r="H2436" t="str">
        <f t="shared" si="44"/>
        <v>STERLING - HRA FEES</v>
      </c>
    </row>
    <row r="2437" spans="5:8" x14ac:dyDescent="0.25">
      <c r="E2437" t="str">
        <f>""</f>
        <v/>
      </c>
      <c r="F2437" t="str">
        <f>""</f>
        <v/>
      </c>
      <c r="G2437" s="3">
        <v>1.75</v>
      </c>
      <c r="H2437" t="str">
        <f t="shared" si="44"/>
        <v>STERLING - HRA FEES</v>
      </c>
    </row>
    <row r="2438" spans="5:8" x14ac:dyDescent="0.25">
      <c r="E2438" t="str">
        <f>""</f>
        <v/>
      </c>
      <c r="F2438" t="str">
        <f>""</f>
        <v/>
      </c>
      <c r="G2438" s="3">
        <v>5.25</v>
      </c>
      <c r="H2438" t="str">
        <f t="shared" si="44"/>
        <v>STERLING - HRA FEES</v>
      </c>
    </row>
    <row r="2439" spans="5:8" x14ac:dyDescent="0.25">
      <c r="E2439" t="str">
        <f>""</f>
        <v/>
      </c>
      <c r="F2439" t="str">
        <f>""</f>
        <v/>
      </c>
      <c r="G2439" s="3">
        <v>0.46</v>
      </c>
      <c r="H2439" t="str">
        <f t="shared" si="44"/>
        <v>STERLING - HRA FEES</v>
      </c>
    </row>
    <row r="2440" spans="5:8" x14ac:dyDescent="0.25">
      <c r="E2440" t="str">
        <f>""</f>
        <v/>
      </c>
      <c r="F2440" t="str">
        <f>""</f>
        <v/>
      </c>
      <c r="G2440" s="3">
        <v>5.25</v>
      </c>
      <c r="H2440" t="str">
        <f t="shared" si="44"/>
        <v>STERLING - HRA FEES</v>
      </c>
    </row>
    <row r="2441" spans="5:8" x14ac:dyDescent="0.25">
      <c r="E2441" t="str">
        <f>""</f>
        <v/>
      </c>
      <c r="F2441" t="str">
        <f>""</f>
        <v/>
      </c>
      <c r="G2441" s="3">
        <v>1.75</v>
      </c>
      <c r="H2441" t="str">
        <f t="shared" si="44"/>
        <v>STERLING - HRA FEES</v>
      </c>
    </row>
    <row r="2442" spans="5:8" x14ac:dyDescent="0.25">
      <c r="E2442" t="str">
        <f>""</f>
        <v/>
      </c>
      <c r="F2442" t="str">
        <f>""</f>
        <v/>
      </c>
      <c r="G2442" s="3">
        <v>8.75</v>
      </c>
      <c r="H2442" t="str">
        <f t="shared" si="44"/>
        <v>STERLING - HRA FEES</v>
      </c>
    </row>
    <row r="2443" spans="5:8" x14ac:dyDescent="0.25">
      <c r="E2443" t="str">
        <f>""</f>
        <v/>
      </c>
      <c r="F2443" t="str">
        <f>""</f>
        <v/>
      </c>
      <c r="G2443" s="3">
        <v>3.5</v>
      </c>
      <c r="H2443" t="str">
        <f t="shared" si="44"/>
        <v>STERLING - HRA FEES</v>
      </c>
    </row>
    <row r="2444" spans="5:8" x14ac:dyDescent="0.25">
      <c r="E2444" t="str">
        <f>""</f>
        <v/>
      </c>
      <c r="F2444" t="str">
        <f>""</f>
        <v/>
      </c>
      <c r="G2444" s="3">
        <v>1.95</v>
      </c>
      <c r="H2444" t="str">
        <f t="shared" si="44"/>
        <v>STERLING - HRA FEES</v>
      </c>
    </row>
    <row r="2445" spans="5:8" x14ac:dyDescent="0.25">
      <c r="E2445" t="str">
        <f>""</f>
        <v/>
      </c>
      <c r="F2445" t="str">
        <f>""</f>
        <v/>
      </c>
      <c r="G2445" s="3">
        <v>21.07</v>
      </c>
      <c r="H2445" t="str">
        <f t="shared" si="44"/>
        <v>STERLING - HRA FEES</v>
      </c>
    </row>
    <row r="2446" spans="5:8" x14ac:dyDescent="0.25">
      <c r="E2446" t="str">
        <f>""</f>
        <v/>
      </c>
      <c r="F2446" t="str">
        <f>""</f>
        <v/>
      </c>
      <c r="G2446" s="3">
        <v>25.92</v>
      </c>
      <c r="H2446" t="str">
        <f t="shared" si="44"/>
        <v>STERLING - HRA FEES</v>
      </c>
    </row>
    <row r="2447" spans="5:8" x14ac:dyDescent="0.25">
      <c r="E2447" t="str">
        <f>""</f>
        <v/>
      </c>
      <c r="F2447" t="str">
        <f>""</f>
        <v/>
      </c>
      <c r="G2447" s="3">
        <v>23.77</v>
      </c>
      <c r="H2447" t="str">
        <f t="shared" si="44"/>
        <v>STERLING - HRA FEES</v>
      </c>
    </row>
    <row r="2448" spans="5:8" x14ac:dyDescent="0.25">
      <c r="E2448" t="str">
        <f>""</f>
        <v/>
      </c>
      <c r="F2448" t="str">
        <f>""</f>
        <v/>
      </c>
      <c r="G2448" s="3">
        <v>26.82</v>
      </c>
      <c r="H2448" t="str">
        <f t="shared" si="44"/>
        <v>STERLING - HRA FEES</v>
      </c>
    </row>
    <row r="2449" spans="1:8" x14ac:dyDescent="0.25">
      <c r="E2449" t="str">
        <f>""</f>
        <v/>
      </c>
      <c r="F2449" t="str">
        <f>""</f>
        <v/>
      </c>
      <c r="G2449" s="3">
        <v>3.04</v>
      </c>
      <c r="H2449" t="str">
        <f t="shared" si="44"/>
        <v>STERLING - HRA FEES</v>
      </c>
    </row>
    <row r="2450" spans="1:8" x14ac:dyDescent="0.25">
      <c r="E2450" t="str">
        <f>""</f>
        <v/>
      </c>
      <c r="F2450" t="str">
        <f>""</f>
        <v/>
      </c>
      <c r="G2450" s="3">
        <v>7.0000000000000007E-2</v>
      </c>
      <c r="H2450" t="str">
        <f t="shared" si="44"/>
        <v>STERLING - HRA FEES</v>
      </c>
    </row>
    <row r="2451" spans="1:8" x14ac:dyDescent="0.25">
      <c r="E2451" t="str">
        <f>""</f>
        <v/>
      </c>
      <c r="F2451" t="str">
        <f>""</f>
        <v/>
      </c>
      <c r="G2451" s="3">
        <v>0.21</v>
      </c>
      <c r="H2451" t="str">
        <f t="shared" si="44"/>
        <v>STERLING - HRA FEES</v>
      </c>
    </row>
    <row r="2452" spans="1:8" x14ac:dyDescent="0.25">
      <c r="E2452" t="str">
        <f>""</f>
        <v/>
      </c>
      <c r="F2452" t="str">
        <f>""</f>
        <v/>
      </c>
      <c r="G2452" s="3">
        <v>0.25</v>
      </c>
      <c r="H2452" t="str">
        <f t="shared" si="44"/>
        <v>STERLING - HRA FEES</v>
      </c>
    </row>
    <row r="2453" spans="1:8" x14ac:dyDescent="0.25">
      <c r="E2453" t="str">
        <f>""</f>
        <v/>
      </c>
      <c r="F2453" t="str">
        <f>""</f>
        <v/>
      </c>
      <c r="G2453" s="3">
        <v>1.74</v>
      </c>
      <c r="H2453" t="str">
        <f t="shared" si="44"/>
        <v>STERLING - HRA FEES</v>
      </c>
    </row>
    <row r="2454" spans="1:8" x14ac:dyDescent="0.25">
      <c r="E2454" t="str">
        <f>"HRF202110136442"</f>
        <v>HRF202110136442</v>
      </c>
      <c r="F2454" t="str">
        <f>"STERLING - HRA FEES"</f>
        <v>STERLING - HRA FEES</v>
      </c>
      <c r="G2454" s="3">
        <v>26.25</v>
      </c>
      <c r="H2454" t="str">
        <f t="shared" si="44"/>
        <v>STERLING - HRA FEES</v>
      </c>
    </row>
    <row r="2455" spans="1:8" x14ac:dyDescent="0.25">
      <c r="A2455" t="s">
        <v>457</v>
      </c>
      <c r="B2455">
        <v>48502</v>
      </c>
      <c r="C2455" s="3">
        <v>417029.22</v>
      </c>
      <c r="D2455" s="4">
        <v>44497</v>
      </c>
      <c r="E2455" t="str">
        <f>"202110276702"</f>
        <v>202110276702</v>
      </c>
      <c r="F2455" t="str">
        <f>"RETIREE INS - OCTOBER 2021"</f>
        <v>RETIREE INS - OCTOBER 2021</v>
      </c>
      <c r="G2455" s="3">
        <v>17778.12</v>
      </c>
      <c r="H2455" t="str">
        <f>"RETIREE INS - OCTOBER 2021"</f>
        <v>RETIREE INS - OCTOBER 2021</v>
      </c>
    </row>
    <row r="2456" spans="1:8" x14ac:dyDescent="0.25">
      <c r="E2456" t="str">
        <f>"202110276712"</f>
        <v>202110276712</v>
      </c>
      <c r="F2456" t="str">
        <f>"ADJ - OCTOBER 2021"</f>
        <v>ADJ - OCTOBER 2021</v>
      </c>
      <c r="G2456" s="3">
        <v>403.6</v>
      </c>
      <c r="H2456" t="str">
        <f>"ADJ - OCTOBER 2021"</f>
        <v>ADJ - OCTOBER 2021</v>
      </c>
    </row>
    <row r="2457" spans="1:8" x14ac:dyDescent="0.25">
      <c r="E2457" t="str">
        <f>"2EC202109295920"</f>
        <v>2EC202109295920</v>
      </c>
      <c r="F2457" t="str">
        <f>"BCBS PAYABLE"</f>
        <v>BCBS PAYABLE</v>
      </c>
      <c r="G2457" s="3">
        <v>374.3</v>
      </c>
      <c r="H2457" t="str">
        <f t="shared" ref="H2457:H2520" si="45">"BCBS PAYABLE"</f>
        <v>BCBS PAYABLE</v>
      </c>
    </row>
    <row r="2458" spans="1:8" x14ac:dyDescent="0.25">
      <c r="E2458" t="str">
        <f>""</f>
        <v/>
      </c>
      <c r="F2458" t="str">
        <f>""</f>
        <v/>
      </c>
      <c r="G2458" s="3">
        <v>748.6</v>
      </c>
      <c r="H2458" t="str">
        <f t="shared" si="45"/>
        <v>BCBS PAYABLE</v>
      </c>
    </row>
    <row r="2459" spans="1:8" x14ac:dyDescent="0.25">
      <c r="E2459" t="str">
        <f>""</f>
        <v/>
      </c>
      <c r="F2459" t="str">
        <f>""</f>
        <v/>
      </c>
      <c r="G2459" s="3">
        <v>1871.5</v>
      </c>
      <c r="H2459" t="str">
        <f t="shared" si="45"/>
        <v>BCBS PAYABLE</v>
      </c>
    </row>
    <row r="2460" spans="1:8" x14ac:dyDescent="0.25">
      <c r="E2460" t="str">
        <f>""</f>
        <v/>
      </c>
      <c r="F2460" t="str">
        <f>""</f>
        <v/>
      </c>
      <c r="G2460" s="3">
        <v>1871.5</v>
      </c>
      <c r="H2460" t="str">
        <f t="shared" si="45"/>
        <v>BCBS PAYABLE</v>
      </c>
    </row>
    <row r="2461" spans="1:8" x14ac:dyDescent="0.25">
      <c r="E2461" t="str">
        <f>""</f>
        <v/>
      </c>
      <c r="F2461" t="str">
        <f>""</f>
        <v/>
      </c>
      <c r="G2461" s="3">
        <v>374.3</v>
      </c>
      <c r="H2461" t="str">
        <f t="shared" si="45"/>
        <v>BCBS PAYABLE</v>
      </c>
    </row>
    <row r="2462" spans="1:8" x14ac:dyDescent="0.25">
      <c r="E2462" t="str">
        <f>""</f>
        <v/>
      </c>
      <c r="F2462" t="str">
        <f>""</f>
        <v/>
      </c>
      <c r="G2462" s="3">
        <v>321.3</v>
      </c>
      <c r="H2462" t="str">
        <f t="shared" si="45"/>
        <v>BCBS PAYABLE</v>
      </c>
    </row>
    <row r="2463" spans="1:8" x14ac:dyDescent="0.25">
      <c r="E2463" t="str">
        <f>""</f>
        <v/>
      </c>
      <c r="F2463" t="str">
        <f>""</f>
        <v/>
      </c>
      <c r="G2463" s="3">
        <v>374.3</v>
      </c>
      <c r="H2463" t="str">
        <f t="shared" si="45"/>
        <v>BCBS PAYABLE</v>
      </c>
    </row>
    <row r="2464" spans="1:8" x14ac:dyDescent="0.25">
      <c r="E2464" t="str">
        <f>""</f>
        <v/>
      </c>
      <c r="F2464" t="str">
        <f>""</f>
        <v/>
      </c>
      <c r="G2464" s="3">
        <v>1497.2</v>
      </c>
      <c r="H2464" t="str">
        <f t="shared" si="45"/>
        <v>BCBS PAYABLE</v>
      </c>
    </row>
    <row r="2465" spans="5:8" x14ac:dyDescent="0.25">
      <c r="E2465" t="str">
        <f>""</f>
        <v/>
      </c>
      <c r="F2465" t="str">
        <f>""</f>
        <v/>
      </c>
      <c r="G2465" s="3">
        <v>748.6</v>
      </c>
      <c r="H2465" t="str">
        <f t="shared" si="45"/>
        <v>BCBS PAYABLE</v>
      </c>
    </row>
    <row r="2466" spans="5:8" x14ac:dyDescent="0.25">
      <c r="E2466" t="str">
        <f>""</f>
        <v/>
      </c>
      <c r="F2466" t="str">
        <f>""</f>
        <v/>
      </c>
      <c r="G2466" s="3">
        <v>748.6</v>
      </c>
      <c r="H2466" t="str">
        <f t="shared" si="45"/>
        <v>BCBS PAYABLE</v>
      </c>
    </row>
    <row r="2467" spans="5:8" x14ac:dyDescent="0.25">
      <c r="E2467" t="str">
        <f>""</f>
        <v/>
      </c>
      <c r="F2467" t="str">
        <f>""</f>
        <v/>
      </c>
      <c r="G2467" s="3">
        <v>1478.61</v>
      </c>
      <c r="H2467" t="str">
        <f t="shared" si="45"/>
        <v>BCBS PAYABLE</v>
      </c>
    </row>
    <row r="2468" spans="5:8" x14ac:dyDescent="0.25">
      <c r="E2468" t="str">
        <f>""</f>
        <v/>
      </c>
      <c r="F2468" t="str">
        <f>""</f>
        <v/>
      </c>
      <c r="G2468" s="3">
        <v>1122.9000000000001</v>
      </c>
      <c r="H2468" t="str">
        <f t="shared" si="45"/>
        <v>BCBS PAYABLE</v>
      </c>
    </row>
    <row r="2469" spans="5:8" x14ac:dyDescent="0.25">
      <c r="E2469" t="str">
        <f>""</f>
        <v/>
      </c>
      <c r="F2469" t="str">
        <f>""</f>
        <v/>
      </c>
      <c r="G2469" s="3">
        <v>374.3</v>
      </c>
      <c r="H2469" t="str">
        <f t="shared" si="45"/>
        <v>BCBS PAYABLE</v>
      </c>
    </row>
    <row r="2470" spans="5:8" x14ac:dyDescent="0.25">
      <c r="E2470" t="str">
        <f>""</f>
        <v/>
      </c>
      <c r="F2470" t="str">
        <f>""</f>
        <v/>
      </c>
      <c r="G2470" s="3">
        <v>748.6</v>
      </c>
      <c r="H2470" t="str">
        <f t="shared" si="45"/>
        <v>BCBS PAYABLE</v>
      </c>
    </row>
    <row r="2471" spans="5:8" x14ac:dyDescent="0.25">
      <c r="E2471" t="str">
        <f>""</f>
        <v/>
      </c>
      <c r="F2471" t="str">
        <f>""</f>
        <v/>
      </c>
      <c r="G2471" s="3">
        <v>748.6</v>
      </c>
      <c r="H2471" t="str">
        <f t="shared" si="45"/>
        <v>BCBS PAYABLE</v>
      </c>
    </row>
    <row r="2472" spans="5:8" x14ac:dyDescent="0.25">
      <c r="E2472" t="str">
        <f>""</f>
        <v/>
      </c>
      <c r="F2472" t="str">
        <f>""</f>
        <v/>
      </c>
      <c r="G2472" s="3">
        <v>1122.9000000000001</v>
      </c>
      <c r="H2472" t="str">
        <f t="shared" si="45"/>
        <v>BCBS PAYABLE</v>
      </c>
    </row>
    <row r="2473" spans="5:8" x14ac:dyDescent="0.25">
      <c r="E2473" t="str">
        <f>""</f>
        <v/>
      </c>
      <c r="F2473" t="str">
        <f>""</f>
        <v/>
      </c>
      <c r="G2473" s="3">
        <v>1122.9000000000001</v>
      </c>
      <c r="H2473" t="str">
        <f t="shared" si="45"/>
        <v>BCBS PAYABLE</v>
      </c>
    </row>
    <row r="2474" spans="5:8" x14ac:dyDescent="0.25">
      <c r="E2474" t="str">
        <f>""</f>
        <v/>
      </c>
      <c r="F2474" t="str">
        <f>""</f>
        <v/>
      </c>
      <c r="G2474" s="3">
        <v>1122.9000000000001</v>
      </c>
      <c r="H2474" t="str">
        <f t="shared" si="45"/>
        <v>BCBS PAYABLE</v>
      </c>
    </row>
    <row r="2475" spans="5:8" x14ac:dyDescent="0.25">
      <c r="E2475" t="str">
        <f>""</f>
        <v/>
      </c>
      <c r="F2475" t="str">
        <f>""</f>
        <v/>
      </c>
      <c r="G2475" s="3">
        <v>2245.8000000000002</v>
      </c>
      <c r="H2475" t="str">
        <f t="shared" si="45"/>
        <v>BCBS PAYABLE</v>
      </c>
    </row>
    <row r="2476" spans="5:8" x14ac:dyDescent="0.25">
      <c r="E2476" t="str">
        <f>""</f>
        <v/>
      </c>
      <c r="F2476" t="str">
        <f>""</f>
        <v/>
      </c>
      <c r="G2476" s="3">
        <v>374.3</v>
      </c>
      <c r="H2476" t="str">
        <f t="shared" si="45"/>
        <v>BCBS PAYABLE</v>
      </c>
    </row>
    <row r="2477" spans="5:8" x14ac:dyDescent="0.25">
      <c r="E2477" t="str">
        <f>""</f>
        <v/>
      </c>
      <c r="F2477" t="str">
        <f>""</f>
        <v/>
      </c>
      <c r="G2477" s="3">
        <v>374.3</v>
      </c>
      <c r="H2477" t="str">
        <f t="shared" si="45"/>
        <v>BCBS PAYABLE</v>
      </c>
    </row>
    <row r="2478" spans="5:8" x14ac:dyDescent="0.25">
      <c r="E2478" t="str">
        <f>""</f>
        <v/>
      </c>
      <c r="F2478" t="str">
        <f>""</f>
        <v/>
      </c>
      <c r="G2478" s="3">
        <v>7597.57</v>
      </c>
      <c r="H2478" t="str">
        <f t="shared" si="45"/>
        <v>BCBS PAYABLE</v>
      </c>
    </row>
    <row r="2479" spans="5:8" x14ac:dyDescent="0.25">
      <c r="E2479" t="str">
        <f>""</f>
        <v/>
      </c>
      <c r="F2479" t="str">
        <f>""</f>
        <v/>
      </c>
      <c r="G2479" s="3">
        <v>362.9</v>
      </c>
      <c r="H2479" t="str">
        <f t="shared" si="45"/>
        <v>BCBS PAYABLE</v>
      </c>
    </row>
    <row r="2480" spans="5:8" x14ac:dyDescent="0.25">
      <c r="E2480" t="str">
        <f>""</f>
        <v/>
      </c>
      <c r="F2480" t="str">
        <f>""</f>
        <v/>
      </c>
      <c r="G2480" s="3">
        <v>6124.39</v>
      </c>
      <c r="H2480" t="str">
        <f t="shared" si="45"/>
        <v>BCBS PAYABLE</v>
      </c>
    </row>
    <row r="2481" spans="5:8" x14ac:dyDescent="0.25">
      <c r="E2481" t="str">
        <f>""</f>
        <v/>
      </c>
      <c r="F2481" t="str">
        <f>""</f>
        <v/>
      </c>
      <c r="G2481" s="3">
        <v>1497.2</v>
      </c>
      <c r="H2481" t="str">
        <f t="shared" si="45"/>
        <v>BCBS PAYABLE</v>
      </c>
    </row>
    <row r="2482" spans="5:8" x14ac:dyDescent="0.25">
      <c r="E2482" t="str">
        <f>""</f>
        <v/>
      </c>
      <c r="F2482" t="str">
        <f>""</f>
        <v/>
      </c>
      <c r="G2482" s="3">
        <v>374.3</v>
      </c>
      <c r="H2482" t="str">
        <f t="shared" si="45"/>
        <v>BCBS PAYABLE</v>
      </c>
    </row>
    <row r="2483" spans="5:8" x14ac:dyDescent="0.25">
      <c r="E2483" t="str">
        <f>""</f>
        <v/>
      </c>
      <c r="F2483" t="str">
        <f>""</f>
        <v/>
      </c>
      <c r="G2483" s="3">
        <v>374.3</v>
      </c>
      <c r="H2483" t="str">
        <f t="shared" si="45"/>
        <v>BCBS PAYABLE</v>
      </c>
    </row>
    <row r="2484" spans="5:8" x14ac:dyDescent="0.25">
      <c r="E2484" t="str">
        <f>""</f>
        <v/>
      </c>
      <c r="F2484" t="str">
        <f>""</f>
        <v/>
      </c>
      <c r="G2484" s="3">
        <v>374.3</v>
      </c>
      <c r="H2484" t="str">
        <f t="shared" si="45"/>
        <v>BCBS PAYABLE</v>
      </c>
    </row>
    <row r="2485" spans="5:8" x14ac:dyDescent="0.25">
      <c r="E2485" t="str">
        <f>""</f>
        <v/>
      </c>
      <c r="F2485" t="str">
        <f>""</f>
        <v/>
      </c>
      <c r="G2485" s="3">
        <v>1497.2</v>
      </c>
      <c r="H2485" t="str">
        <f t="shared" si="45"/>
        <v>BCBS PAYABLE</v>
      </c>
    </row>
    <row r="2486" spans="5:8" x14ac:dyDescent="0.25">
      <c r="E2486" t="str">
        <f>""</f>
        <v/>
      </c>
      <c r="F2486" t="str">
        <f>""</f>
        <v/>
      </c>
      <c r="G2486" s="3">
        <v>748.6</v>
      </c>
      <c r="H2486" t="str">
        <f t="shared" si="45"/>
        <v>BCBS PAYABLE</v>
      </c>
    </row>
    <row r="2487" spans="5:8" x14ac:dyDescent="0.25">
      <c r="E2487" t="str">
        <f>""</f>
        <v/>
      </c>
      <c r="F2487" t="str">
        <f>""</f>
        <v/>
      </c>
      <c r="G2487" s="3">
        <v>887.14</v>
      </c>
      <c r="H2487" t="str">
        <f t="shared" si="45"/>
        <v>BCBS PAYABLE</v>
      </c>
    </row>
    <row r="2488" spans="5:8" x14ac:dyDescent="0.25">
      <c r="E2488" t="str">
        <f>""</f>
        <v/>
      </c>
      <c r="F2488" t="str">
        <f>""</f>
        <v/>
      </c>
      <c r="G2488" s="3">
        <v>5</v>
      </c>
      <c r="H2488" t="str">
        <f t="shared" si="45"/>
        <v>BCBS PAYABLE</v>
      </c>
    </row>
    <row r="2489" spans="5:8" x14ac:dyDescent="0.25">
      <c r="E2489" t="str">
        <f>""</f>
        <v/>
      </c>
      <c r="F2489" t="str">
        <f>""</f>
        <v/>
      </c>
      <c r="G2489" s="3">
        <v>13.59</v>
      </c>
      <c r="H2489" t="str">
        <f t="shared" si="45"/>
        <v>BCBS PAYABLE</v>
      </c>
    </row>
    <row r="2490" spans="5:8" x14ac:dyDescent="0.25">
      <c r="E2490" t="str">
        <f>""</f>
        <v/>
      </c>
      <c r="F2490" t="str">
        <f>""</f>
        <v/>
      </c>
      <c r="G2490" s="3">
        <v>53</v>
      </c>
      <c r="H2490" t="str">
        <f t="shared" si="45"/>
        <v>BCBS PAYABLE</v>
      </c>
    </row>
    <row r="2491" spans="5:8" x14ac:dyDescent="0.25">
      <c r="E2491" t="str">
        <f>""</f>
        <v/>
      </c>
      <c r="F2491" t="str">
        <f>""</f>
        <v/>
      </c>
      <c r="G2491" s="3">
        <v>14708.4</v>
      </c>
      <c r="H2491" t="str">
        <f t="shared" si="45"/>
        <v>BCBS PAYABLE</v>
      </c>
    </row>
    <row r="2492" spans="5:8" x14ac:dyDescent="0.25">
      <c r="E2492" t="str">
        <f>"2EC202109295921"</f>
        <v>2EC202109295921</v>
      </c>
      <c r="F2492" t="str">
        <f>"BCBS PAYABLE"</f>
        <v>BCBS PAYABLE</v>
      </c>
      <c r="G2492" s="3">
        <v>1497.2</v>
      </c>
      <c r="H2492" t="str">
        <f t="shared" si="45"/>
        <v>BCBS PAYABLE</v>
      </c>
    </row>
    <row r="2493" spans="5:8" x14ac:dyDescent="0.25">
      <c r="E2493" t="str">
        <f>""</f>
        <v/>
      </c>
      <c r="F2493" t="str">
        <f>""</f>
        <v/>
      </c>
      <c r="G2493" s="3">
        <v>560.32000000000005</v>
      </c>
      <c r="H2493" t="str">
        <f t="shared" si="45"/>
        <v>BCBS PAYABLE</v>
      </c>
    </row>
    <row r="2494" spans="5:8" x14ac:dyDescent="0.25">
      <c r="E2494" t="str">
        <f>"2EC202110136441"</f>
        <v>2EC202110136441</v>
      </c>
      <c r="F2494" t="str">
        <f>"BCBS PAYABLE"</f>
        <v>BCBS PAYABLE</v>
      </c>
      <c r="G2494" s="3">
        <v>374.3</v>
      </c>
      <c r="H2494" t="str">
        <f t="shared" si="45"/>
        <v>BCBS PAYABLE</v>
      </c>
    </row>
    <row r="2495" spans="5:8" x14ac:dyDescent="0.25">
      <c r="E2495" t="str">
        <f>""</f>
        <v/>
      </c>
      <c r="F2495" t="str">
        <f>""</f>
        <v/>
      </c>
      <c r="G2495" s="3">
        <v>748.6</v>
      </c>
      <c r="H2495" t="str">
        <f t="shared" si="45"/>
        <v>BCBS PAYABLE</v>
      </c>
    </row>
    <row r="2496" spans="5:8" x14ac:dyDescent="0.25">
      <c r="E2496" t="str">
        <f>""</f>
        <v/>
      </c>
      <c r="F2496" t="str">
        <f>""</f>
        <v/>
      </c>
      <c r="G2496" s="3">
        <v>1678.47</v>
      </c>
      <c r="H2496" t="str">
        <f t="shared" si="45"/>
        <v>BCBS PAYABLE</v>
      </c>
    </row>
    <row r="2497" spans="5:8" x14ac:dyDescent="0.25">
      <c r="E2497" t="str">
        <f>""</f>
        <v/>
      </c>
      <c r="F2497" t="str">
        <f>""</f>
        <v/>
      </c>
      <c r="G2497" s="3">
        <v>1871.5</v>
      </c>
      <c r="H2497" t="str">
        <f t="shared" si="45"/>
        <v>BCBS PAYABLE</v>
      </c>
    </row>
    <row r="2498" spans="5:8" x14ac:dyDescent="0.25">
      <c r="E2498" t="str">
        <f>""</f>
        <v/>
      </c>
      <c r="F2498" t="str">
        <f>""</f>
        <v/>
      </c>
      <c r="G2498" s="3">
        <v>374.3</v>
      </c>
      <c r="H2498" t="str">
        <f t="shared" si="45"/>
        <v>BCBS PAYABLE</v>
      </c>
    </row>
    <row r="2499" spans="5:8" x14ac:dyDescent="0.25">
      <c r="E2499" t="str">
        <f>""</f>
        <v/>
      </c>
      <c r="F2499" t="str">
        <f>""</f>
        <v/>
      </c>
      <c r="G2499" s="3">
        <v>320.67</v>
      </c>
      <c r="H2499" t="str">
        <f t="shared" si="45"/>
        <v>BCBS PAYABLE</v>
      </c>
    </row>
    <row r="2500" spans="5:8" x14ac:dyDescent="0.25">
      <c r="E2500" t="str">
        <f>""</f>
        <v/>
      </c>
      <c r="F2500" t="str">
        <f>""</f>
        <v/>
      </c>
      <c r="G2500" s="3">
        <v>408.49</v>
      </c>
      <c r="H2500" t="str">
        <f t="shared" si="45"/>
        <v>BCBS PAYABLE</v>
      </c>
    </row>
    <row r="2501" spans="5:8" x14ac:dyDescent="0.25">
      <c r="E2501" t="str">
        <f>""</f>
        <v/>
      </c>
      <c r="F2501" t="str">
        <f>""</f>
        <v/>
      </c>
      <c r="G2501" s="3">
        <v>1497.2</v>
      </c>
      <c r="H2501" t="str">
        <f t="shared" si="45"/>
        <v>BCBS PAYABLE</v>
      </c>
    </row>
    <row r="2502" spans="5:8" x14ac:dyDescent="0.25">
      <c r="E2502" t="str">
        <f>""</f>
        <v/>
      </c>
      <c r="F2502" t="str">
        <f>""</f>
        <v/>
      </c>
      <c r="G2502" s="3">
        <v>748.6</v>
      </c>
      <c r="H2502" t="str">
        <f t="shared" si="45"/>
        <v>BCBS PAYABLE</v>
      </c>
    </row>
    <row r="2503" spans="5:8" x14ac:dyDescent="0.25">
      <c r="E2503" t="str">
        <f>""</f>
        <v/>
      </c>
      <c r="F2503" t="str">
        <f>""</f>
        <v/>
      </c>
      <c r="G2503" s="3">
        <v>748.6</v>
      </c>
      <c r="H2503" t="str">
        <f t="shared" si="45"/>
        <v>BCBS PAYABLE</v>
      </c>
    </row>
    <row r="2504" spans="5:8" x14ac:dyDescent="0.25">
      <c r="E2504" t="str">
        <f>""</f>
        <v/>
      </c>
      <c r="F2504" t="str">
        <f>""</f>
        <v/>
      </c>
      <c r="G2504" s="3">
        <v>1478.93</v>
      </c>
      <c r="H2504" t="str">
        <f t="shared" si="45"/>
        <v>BCBS PAYABLE</v>
      </c>
    </row>
    <row r="2505" spans="5:8" x14ac:dyDescent="0.25">
      <c r="E2505" t="str">
        <f>""</f>
        <v/>
      </c>
      <c r="F2505" t="str">
        <f>""</f>
        <v/>
      </c>
      <c r="G2505" s="3">
        <v>1122.9000000000001</v>
      </c>
      <c r="H2505" t="str">
        <f t="shared" si="45"/>
        <v>BCBS PAYABLE</v>
      </c>
    </row>
    <row r="2506" spans="5:8" x14ac:dyDescent="0.25">
      <c r="E2506" t="str">
        <f>""</f>
        <v/>
      </c>
      <c r="F2506" t="str">
        <f>""</f>
        <v/>
      </c>
      <c r="G2506" s="3">
        <v>374.3</v>
      </c>
      <c r="H2506" t="str">
        <f t="shared" si="45"/>
        <v>BCBS PAYABLE</v>
      </c>
    </row>
    <row r="2507" spans="5:8" x14ac:dyDescent="0.25">
      <c r="E2507" t="str">
        <f>""</f>
        <v/>
      </c>
      <c r="F2507" t="str">
        <f>""</f>
        <v/>
      </c>
      <c r="G2507" s="3">
        <v>748.6</v>
      </c>
      <c r="H2507" t="str">
        <f t="shared" si="45"/>
        <v>BCBS PAYABLE</v>
      </c>
    </row>
    <row r="2508" spans="5:8" x14ac:dyDescent="0.25">
      <c r="E2508" t="str">
        <f>""</f>
        <v/>
      </c>
      <c r="F2508" t="str">
        <f>""</f>
        <v/>
      </c>
      <c r="G2508" s="3">
        <v>748.6</v>
      </c>
      <c r="H2508" t="str">
        <f t="shared" si="45"/>
        <v>BCBS PAYABLE</v>
      </c>
    </row>
    <row r="2509" spans="5:8" x14ac:dyDescent="0.25">
      <c r="E2509" t="str">
        <f>""</f>
        <v/>
      </c>
      <c r="F2509" t="str">
        <f>""</f>
        <v/>
      </c>
      <c r="G2509" s="3">
        <v>1122.9000000000001</v>
      </c>
      <c r="H2509" t="str">
        <f t="shared" si="45"/>
        <v>BCBS PAYABLE</v>
      </c>
    </row>
    <row r="2510" spans="5:8" x14ac:dyDescent="0.25">
      <c r="E2510" t="str">
        <f>""</f>
        <v/>
      </c>
      <c r="F2510" t="str">
        <f>""</f>
        <v/>
      </c>
      <c r="G2510" s="3">
        <v>1122.9000000000001</v>
      </c>
      <c r="H2510" t="str">
        <f t="shared" si="45"/>
        <v>BCBS PAYABLE</v>
      </c>
    </row>
    <row r="2511" spans="5:8" x14ac:dyDescent="0.25">
      <c r="E2511" t="str">
        <f>""</f>
        <v/>
      </c>
      <c r="F2511" t="str">
        <f>""</f>
        <v/>
      </c>
      <c r="G2511" s="3">
        <v>1122.9000000000001</v>
      </c>
      <c r="H2511" t="str">
        <f t="shared" si="45"/>
        <v>BCBS PAYABLE</v>
      </c>
    </row>
    <row r="2512" spans="5:8" x14ac:dyDescent="0.25">
      <c r="E2512" t="str">
        <f>""</f>
        <v/>
      </c>
      <c r="F2512" t="str">
        <f>""</f>
        <v/>
      </c>
      <c r="G2512" s="3">
        <v>2245.8000000000002</v>
      </c>
      <c r="H2512" t="str">
        <f t="shared" si="45"/>
        <v>BCBS PAYABLE</v>
      </c>
    </row>
    <row r="2513" spans="5:8" x14ac:dyDescent="0.25">
      <c r="E2513" t="str">
        <f>""</f>
        <v/>
      </c>
      <c r="F2513" t="str">
        <f>""</f>
        <v/>
      </c>
      <c r="G2513" s="3">
        <v>374.3</v>
      </c>
      <c r="H2513" t="str">
        <f t="shared" si="45"/>
        <v>BCBS PAYABLE</v>
      </c>
    </row>
    <row r="2514" spans="5:8" x14ac:dyDescent="0.25">
      <c r="E2514" t="str">
        <f>""</f>
        <v/>
      </c>
      <c r="F2514" t="str">
        <f>""</f>
        <v/>
      </c>
      <c r="G2514" s="3">
        <v>374.3</v>
      </c>
      <c r="H2514" t="str">
        <f t="shared" si="45"/>
        <v>BCBS PAYABLE</v>
      </c>
    </row>
    <row r="2515" spans="5:8" x14ac:dyDescent="0.25">
      <c r="E2515" t="str">
        <f>""</f>
        <v/>
      </c>
      <c r="F2515" t="str">
        <f>""</f>
        <v/>
      </c>
      <c r="G2515" s="3">
        <v>8295.26</v>
      </c>
      <c r="H2515" t="str">
        <f t="shared" si="45"/>
        <v>BCBS PAYABLE</v>
      </c>
    </row>
    <row r="2516" spans="5:8" x14ac:dyDescent="0.25">
      <c r="E2516" t="str">
        <f>""</f>
        <v/>
      </c>
      <c r="F2516" t="str">
        <f>""</f>
        <v/>
      </c>
      <c r="G2516" s="3">
        <v>363.09</v>
      </c>
      <c r="H2516" t="str">
        <f t="shared" si="45"/>
        <v>BCBS PAYABLE</v>
      </c>
    </row>
    <row r="2517" spans="5:8" x14ac:dyDescent="0.25">
      <c r="E2517" t="str">
        <f>""</f>
        <v/>
      </c>
      <c r="F2517" t="str">
        <f>""</f>
        <v/>
      </c>
      <c r="G2517" s="3">
        <v>6279.46</v>
      </c>
      <c r="H2517" t="str">
        <f t="shared" si="45"/>
        <v>BCBS PAYABLE</v>
      </c>
    </row>
    <row r="2518" spans="5:8" x14ac:dyDescent="0.25">
      <c r="E2518" t="str">
        <f>""</f>
        <v/>
      </c>
      <c r="F2518" t="str">
        <f>""</f>
        <v/>
      </c>
      <c r="G2518" s="3">
        <v>1497.2</v>
      </c>
      <c r="H2518" t="str">
        <f t="shared" si="45"/>
        <v>BCBS PAYABLE</v>
      </c>
    </row>
    <row r="2519" spans="5:8" x14ac:dyDescent="0.25">
      <c r="E2519" t="str">
        <f>""</f>
        <v/>
      </c>
      <c r="F2519" t="str">
        <f>""</f>
        <v/>
      </c>
      <c r="G2519" s="3">
        <v>374.3</v>
      </c>
      <c r="H2519" t="str">
        <f t="shared" si="45"/>
        <v>BCBS PAYABLE</v>
      </c>
    </row>
    <row r="2520" spans="5:8" x14ac:dyDescent="0.25">
      <c r="E2520" t="str">
        <f>""</f>
        <v/>
      </c>
      <c r="F2520" t="str">
        <f>""</f>
        <v/>
      </c>
      <c r="G2520" s="3">
        <v>374.3</v>
      </c>
      <c r="H2520" t="str">
        <f t="shared" si="45"/>
        <v>BCBS PAYABLE</v>
      </c>
    </row>
    <row r="2521" spans="5:8" x14ac:dyDescent="0.25">
      <c r="E2521" t="str">
        <f>""</f>
        <v/>
      </c>
      <c r="F2521" t="str">
        <f>""</f>
        <v/>
      </c>
      <c r="G2521" s="3">
        <v>374.3</v>
      </c>
      <c r="H2521" t="str">
        <f t="shared" ref="H2521:H2584" si="46">"BCBS PAYABLE"</f>
        <v>BCBS PAYABLE</v>
      </c>
    </row>
    <row r="2522" spans="5:8" x14ac:dyDescent="0.25">
      <c r="E2522" t="str">
        <f>""</f>
        <v/>
      </c>
      <c r="F2522" t="str">
        <f>""</f>
        <v/>
      </c>
      <c r="G2522" s="3">
        <v>1497.2</v>
      </c>
      <c r="H2522" t="str">
        <f t="shared" si="46"/>
        <v>BCBS PAYABLE</v>
      </c>
    </row>
    <row r="2523" spans="5:8" x14ac:dyDescent="0.25">
      <c r="E2523" t="str">
        <f>""</f>
        <v/>
      </c>
      <c r="F2523" t="str">
        <f>""</f>
        <v/>
      </c>
      <c r="G2523" s="3">
        <v>941.63</v>
      </c>
      <c r="H2523" t="str">
        <f t="shared" si="46"/>
        <v>BCBS PAYABLE</v>
      </c>
    </row>
    <row r="2524" spans="5:8" x14ac:dyDescent="0.25">
      <c r="E2524" t="str">
        <f>""</f>
        <v/>
      </c>
      <c r="F2524" t="str">
        <f>""</f>
        <v/>
      </c>
      <c r="G2524" s="3">
        <v>4.91</v>
      </c>
      <c r="H2524" t="str">
        <f t="shared" si="46"/>
        <v>BCBS PAYABLE</v>
      </c>
    </row>
    <row r="2525" spans="5:8" x14ac:dyDescent="0.25">
      <c r="E2525" t="str">
        <f>""</f>
        <v/>
      </c>
      <c r="F2525" t="str">
        <f>""</f>
        <v/>
      </c>
      <c r="G2525" s="3">
        <v>13.36</v>
      </c>
      <c r="H2525" t="str">
        <f t="shared" si="46"/>
        <v>BCBS PAYABLE</v>
      </c>
    </row>
    <row r="2526" spans="5:8" x14ac:dyDescent="0.25">
      <c r="E2526" t="str">
        <f>""</f>
        <v/>
      </c>
      <c r="F2526" t="str">
        <f>""</f>
        <v/>
      </c>
      <c r="G2526" s="3">
        <v>53.63</v>
      </c>
      <c r="H2526" t="str">
        <f t="shared" si="46"/>
        <v>BCBS PAYABLE</v>
      </c>
    </row>
    <row r="2527" spans="5:8" x14ac:dyDescent="0.25">
      <c r="E2527" t="str">
        <f>""</f>
        <v/>
      </c>
      <c r="F2527" t="str">
        <f>""</f>
        <v/>
      </c>
      <c r="G2527" s="3">
        <v>14988.56</v>
      </c>
      <c r="H2527" t="str">
        <f t="shared" si="46"/>
        <v>BCBS PAYABLE</v>
      </c>
    </row>
    <row r="2528" spans="5:8" x14ac:dyDescent="0.25">
      <c r="E2528" t="str">
        <f>"2EC202110136442"</f>
        <v>2EC202110136442</v>
      </c>
      <c r="F2528" t="str">
        <f>"BCBS PAYABLE"</f>
        <v>BCBS PAYABLE</v>
      </c>
      <c r="G2528" s="3">
        <v>1497.2</v>
      </c>
      <c r="H2528" t="str">
        <f t="shared" si="46"/>
        <v>BCBS PAYABLE</v>
      </c>
    </row>
    <row r="2529" spans="5:8" x14ac:dyDescent="0.25">
      <c r="E2529" t="str">
        <f>""</f>
        <v/>
      </c>
      <c r="F2529" t="str">
        <f>""</f>
        <v/>
      </c>
      <c r="G2529" s="3">
        <v>560.32000000000005</v>
      </c>
      <c r="H2529" t="str">
        <f t="shared" si="46"/>
        <v>BCBS PAYABLE</v>
      </c>
    </row>
    <row r="2530" spans="5:8" x14ac:dyDescent="0.25">
      <c r="E2530" t="str">
        <f>"2EF202109295920"</f>
        <v>2EF202109295920</v>
      </c>
      <c r="F2530" t="str">
        <f>"BCBS PAYABLE"</f>
        <v>BCBS PAYABLE</v>
      </c>
      <c r="G2530" s="3">
        <v>374.3</v>
      </c>
      <c r="H2530" t="str">
        <f t="shared" si="46"/>
        <v>BCBS PAYABLE</v>
      </c>
    </row>
    <row r="2531" spans="5:8" x14ac:dyDescent="0.25">
      <c r="E2531" t="str">
        <f>""</f>
        <v/>
      </c>
      <c r="F2531" t="str">
        <f>""</f>
        <v/>
      </c>
      <c r="G2531" s="3">
        <v>9.7100000000000009</v>
      </c>
      <c r="H2531" t="str">
        <f t="shared" si="46"/>
        <v>BCBS PAYABLE</v>
      </c>
    </row>
    <row r="2532" spans="5:8" x14ac:dyDescent="0.25">
      <c r="E2532" t="str">
        <f>""</f>
        <v/>
      </c>
      <c r="F2532" t="str">
        <f>""</f>
        <v/>
      </c>
      <c r="G2532" s="3">
        <v>738.89</v>
      </c>
      <c r="H2532" t="str">
        <f t="shared" si="46"/>
        <v>BCBS PAYABLE</v>
      </c>
    </row>
    <row r="2533" spans="5:8" x14ac:dyDescent="0.25">
      <c r="E2533" t="str">
        <f>""</f>
        <v/>
      </c>
      <c r="F2533" t="str">
        <f>""</f>
        <v/>
      </c>
      <c r="G2533" s="3">
        <v>1942.89</v>
      </c>
      <c r="H2533" t="str">
        <f t="shared" si="46"/>
        <v>BCBS PAYABLE</v>
      </c>
    </row>
    <row r="2534" spans="5:8" x14ac:dyDescent="0.25">
      <c r="E2534" t="str">
        <f>"2EF202110136441"</f>
        <v>2EF202110136441</v>
      </c>
      <c r="F2534" t="str">
        <f>"BCBS PAYABLE"</f>
        <v>BCBS PAYABLE</v>
      </c>
      <c r="G2534" s="3">
        <v>374.3</v>
      </c>
      <c r="H2534" t="str">
        <f t="shared" si="46"/>
        <v>BCBS PAYABLE</v>
      </c>
    </row>
    <row r="2535" spans="5:8" x14ac:dyDescent="0.25">
      <c r="E2535" t="str">
        <f>""</f>
        <v/>
      </c>
      <c r="F2535" t="str">
        <f>""</f>
        <v/>
      </c>
      <c r="G2535" s="3">
        <v>9.5299999999999994</v>
      </c>
      <c r="H2535" t="str">
        <f t="shared" si="46"/>
        <v>BCBS PAYABLE</v>
      </c>
    </row>
    <row r="2536" spans="5:8" x14ac:dyDescent="0.25">
      <c r="E2536" t="str">
        <f>""</f>
        <v/>
      </c>
      <c r="F2536" t="str">
        <f>""</f>
        <v/>
      </c>
      <c r="G2536" s="3">
        <v>739.07</v>
      </c>
      <c r="H2536" t="str">
        <f t="shared" si="46"/>
        <v>BCBS PAYABLE</v>
      </c>
    </row>
    <row r="2537" spans="5:8" x14ac:dyDescent="0.25">
      <c r="E2537" t="str">
        <f>""</f>
        <v/>
      </c>
      <c r="F2537" t="str">
        <f>""</f>
        <v/>
      </c>
      <c r="G2537" s="3">
        <v>1942.89</v>
      </c>
      <c r="H2537" t="str">
        <f t="shared" si="46"/>
        <v>BCBS PAYABLE</v>
      </c>
    </row>
    <row r="2538" spans="5:8" x14ac:dyDescent="0.25">
      <c r="E2538" t="str">
        <f>"2EO202109295920"</f>
        <v>2EO202109295920</v>
      </c>
      <c r="F2538" t="str">
        <f>"BCBS PAYABLE"</f>
        <v>BCBS PAYABLE</v>
      </c>
      <c r="G2538" s="3">
        <v>748.6</v>
      </c>
      <c r="H2538" t="str">
        <f t="shared" si="46"/>
        <v>BCBS PAYABLE</v>
      </c>
    </row>
    <row r="2539" spans="5:8" x14ac:dyDescent="0.25">
      <c r="E2539" t="str">
        <f>""</f>
        <v/>
      </c>
      <c r="F2539" t="str">
        <f>""</f>
        <v/>
      </c>
      <c r="G2539" s="3">
        <v>486.48</v>
      </c>
      <c r="H2539" t="str">
        <f t="shared" si="46"/>
        <v>BCBS PAYABLE</v>
      </c>
    </row>
    <row r="2540" spans="5:8" x14ac:dyDescent="0.25">
      <c r="E2540" t="str">
        <f>""</f>
        <v/>
      </c>
      <c r="F2540" t="str">
        <f>""</f>
        <v/>
      </c>
      <c r="G2540" s="3">
        <v>2579.5500000000002</v>
      </c>
      <c r="H2540" t="str">
        <f t="shared" si="46"/>
        <v>BCBS PAYABLE</v>
      </c>
    </row>
    <row r="2541" spans="5:8" x14ac:dyDescent="0.25">
      <c r="E2541" t="str">
        <f>""</f>
        <v/>
      </c>
      <c r="F2541" t="str">
        <f>""</f>
        <v/>
      </c>
      <c r="G2541" s="3">
        <v>748.6</v>
      </c>
      <c r="H2541" t="str">
        <f t="shared" si="46"/>
        <v>BCBS PAYABLE</v>
      </c>
    </row>
    <row r="2542" spans="5:8" x14ac:dyDescent="0.25">
      <c r="E2542" t="str">
        <f>""</f>
        <v/>
      </c>
      <c r="F2542" t="str">
        <f>""</f>
        <v/>
      </c>
      <c r="G2542" s="3">
        <v>748.6</v>
      </c>
      <c r="H2542" t="str">
        <f t="shared" si="46"/>
        <v>BCBS PAYABLE</v>
      </c>
    </row>
    <row r="2543" spans="5:8" x14ac:dyDescent="0.25">
      <c r="E2543" t="str">
        <f>""</f>
        <v/>
      </c>
      <c r="F2543" t="str">
        <f>""</f>
        <v/>
      </c>
      <c r="G2543" s="3">
        <v>374.3</v>
      </c>
      <c r="H2543" t="str">
        <f t="shared" si="46"/>
        <v>BCBS PAYABLE</v>
      </c>
    </row>
    <row r="2544" spans="5:8" x14ac:dyDescent="0.25">
      <c r="E2544" t="str">
        <f>""</f>
        <v/>
      </c>
      <c r="F2544" t="str">
        <f>""</f>
        <v/>
      </c>
      <c r="G2544" s="3">
        <v>5988.8</v>
      </c>
      <c r="H2544" t="str">
        <f t="shared" si="46"/>
        <v>BCBS PAYABLE</v>
      </c>
    </row>
    <row r="2545" spans="5:8" x14ac:dyDescent="0.25">
      <c r="E2545" t="str">
        <f>""</f>
        <v/>
      </c>
      <c r="F2545" t="str">
        <f>""</f>
        <v/>
      </c>
      <c r="G2545" s="3">
        <v>748.6</v>
      </c>
      <c r="H2545" t="str">
        <f t="shared" si="46"/>
        <v>BCBS PAYABLE</v>
      </c>
    </row>
    <row r="2546" spans="5:8" x14ac:dyDescent="0.25">
      <c r="E2546" t="str">
        <f>""</f>
        <v/>
      </c>
      <c r="F2546" t="str">
        <f>""</f>
        <v/>
      </c>
      <c r="G2546" s="3">
        <v>1497.2</v>
      </c>
      <c r="H2546" t="str">
        <f t="shared" si="46"/>
        <v>BCBS PAYABLE</v>
      </c>
    </row>
    <row r="2547" spans="5:8" x14ac:dyDescent="0.25">
      <c r="E2547" t="str">
        <f>""</f>
        <v/>
      </c>
      <c r="F2547" t="str">
        <f>""</f>
        <v/>
      </c>
      <c r="G2547" s="3">
        <v>3743</v>
      </c>
      <c r="H2547" t="str">
        <f t="shared" si="46"/>
        <v>BCBS PAYABLE</v>
      </c>
    </row>
    <row r="2548" spans="5:8" x14ac:dyDescent="0.25">
      <c r="E2548" t="str">
        <f>""</f>
        <v/>
      </c>
      <c r="F2548" t="str">
        <f>""</f>
        <v/>
      </c>
      <c r="G2548" s="3">
        <v>748.6</v>
      </c>
      <c r="H2548" t="str">
        <f t="shared" si="46"/>
        <v>BCBS PAYABLE</v>
      </c>
    </row>
    <row r="2549" spans="5:8" x14ac:dyDescent="0.25">
      <c r="E2549" t="str">
        <f>""</f>
        <v/>
      </c>
      <c r="F2549" t="str">
        <f>""</f>
        <v/>
      </c>
      <c r="G2549" s="3">
        <v>748.6</v>
      </c>
      <c r="H2549" t="str">
        <f t="shared" si="46"/>
        <v>BCBS PAYABLE</v>
      </c>
    </row>
    <row r="2550" spans="5:8" x14ac:dyDescent="0.25">
      <c r="E2550" t="str">
        <f>""</f>
        <v/>
      </c>
      <c r="F2550" t="str">
        <f>""</f>
        <v/>
      </c>
      <c r="G2550" s="3">
        <v>374.3</v>
      </c>
      <c r="H2550" t="str">
        <f t="shared" si="46"/>
        <v>BCBS PAYABLE</v>
      </c>
    </row>
    <row r="2551" spans="5:8" x14ac:dyDescent="0.25">
      <c r="E2551" t="str">
        <f>""</f>
        <v/>
      </c>
      <c r="F2551" t="str">
        <f>""</f>
        <v/>
      </c>
      <c r="G2551" s="3">
        <v>1122.9000000000001</v>
      </c>
      <c r="H2551" t="str">
        <f t="shared" si="46"/>
        <v>BCBS PAYABLE</v>
      </c>
    </row>
    <row r="2552" spans="5:8" x14ac:dyDescent="0.25">
      <c r="E2552" t="str">
        <f>""</f>
        <v/>
      </c>
      <c r="F2552" t="str">
        <f>""</f>
        <v/>
      </c>
      <c r="G2552" s="3">
        <v>748.6</v>
      </c>
      <c r="H2552" t="str">
        <f t="shared" si="46"/>
        <v>BCBS PAYABLE</v>
      </c>
    </row>
    <row r="2553" spans="5:8" x14ac:dyDescent="0.25">
      <c r="E2553" t="str">
        <f>""</f>
        <v/>
      </c>
      <c r="F2553" t="str">
        <f>""</f>
        <v/>
      </c>
      <c r="G2553" s="3">
        <v>3600.38</v>
      </c>
      <c r="H2553" t="str">
        <f t="shared" si="46"/>
        <v>BCBS PAYABLE</v>
      </c>
    </row>
    <row r="2554" spans="5:8" x14ac:dyDescent="0.25">
      <c r="E2554" t="str">
        <f>""</f>
        <v/>
      </c>
      <c r="F2554" t="str">
        <f>""</f>
        <v/>
      </c>
      <c r="G2554" s="3">
        <v>1122.9000000000001</v>
      </c>
      <c r="H2554" t="str">
        <f t="shared" si="46"/>
        <v>BCBS PAYABLE</v>
      </c>
    </row>
    <row r="2555" spans="5:8" x14ac:dyDescent="0.25">
      <c r="E2555" t="str">
        <f>""</f>
        <v/>
      </c>
      <c r="F2555" t="str">
        <f>""</f>
        <v/>
      </c>
      <c r="G2555" s="3">
        <v>748.6</v>
      </c>
      <c r="H2555" t="str">
        <f t="shared" si="46"/>
        <v>BCBS PAYABLE</v>
      </c>
    </row>
    <row r="2556" spans="5:8" x14ac:dyDescent="0.25">
      <c r="E2556" t="str">
        <f>""</f>
        <v/>
      </c>
      <c r="F2556" t="str">
        <f>""</f>
        <v/>
      </c>
      <c r="G2556" s="3">
        <v>374.3</v>
      </c>
      <c r="H2556" t="str">
        <f t="shared" si="46"/>
        <v>BCBS PAYABLE</v>
      </c>
    </row>
    <row r="2557" spans="5:8" x14ac:dyDescent="0.25">
      <c r="E2557" t="str">
        <f>""</f>
        <v/>
      </c>
      <c r="F2557" t="str">
        <f>""</f>
        <v/>
      </c>
      <c r="G2557" s="3">
        <v>3368.7</v>
      </c>
      <c r="H2557" t="str">
        <f t="shared" si="46"/>
        <v>BCBS PAYABLE</v>
      </c>
    </row>
    <row r="2558" spans="5:8" x14ac:dyDescent="0.25">
      <c r="E2558" t="str">
        <f>""</f>
        <v/>
      </c>
      <c r="F2558" t="str">
        <f>""</f>
        <v/>
      </c>
      <c r="G2558" s="3">
        <v>1497.2</v>
      </c>
      <c r="H2558" t="str">
        <f t="shared" si="46"/>
        <v>BCBS PAYABLE</v>
      </c>
    </row>
    <row r="2559" spans="5:8" x14ac:dyDescent="0.25">
      <c r="E2559" t="str">
        <f>""</f>
        <v/>
      </c>
      <c r="F2559" t="str">
        <f>""</f>
        <v/>
      </c>
      <c r="G2559" s="3">
        <v>2994.4</v>
      </c>
      <c r="H2559" t="str">
        <f t="shared" si="46"/>
        <v>BCBS PAYABLE</v>
      </c>
    </row>
    <row r="2560" spans="5:8" x14ac:dyDescent="0.25">
      <c r="E2560" t="str">
        <f>""</f>
        <v/>
      </c>
      <c r="F2560" t="str">
        <f>""</f>
        <v/>
      </c>
      <c r="G2560" s="3">
        <v>3743</v>
      </c>
      <c r="H2560" t="str">
        <f t="shared" si="46"/>
        <v>BCBS PAYABLE</v>
      </c>
    </row>
    <row r="2561" spans="5:8" x14ac:dyDescent="0.25">
      <c r="E2561" t="str">
        <f>""</f>
        <v/>
      </c>
      <c r="F2561" t="str">
        <f>""</f>
        <v/>
      </c>
      <c r="G2561" s="3">
        <v>6369.16</v>
      </c>
      <c r="H2561" t="str">
        <f t="shared" si="46"/>
        <v>BCBS PAYABLE</v>
      </c>
    </row>
    <row r="2562" spans="5:8" x14ac:dyDescent="0.25">
      <c r="E2562" t="str">
        <f>""</f>
        <v/>
      </c>
      <c r="F2562" t="str">
        <f>""</f>
        <v/>
      </c>
      <c r="G2562" s="3">
        <v>374.3</v>
      </c>
      <c r="H2562" t="str">
        <f t="shared" si="46"/>
        <v>BCBS PAYABLE</v>
      </c>
    </row>
    <row r="2563" spans="5:8" x14ac:dyDescent="0.25">
      <c r="E2563" t="str">
        <f>""</f>
        <v/>
      </c>
      <c r="F2563" t="str">
        <f>""</f>
        <v/>
      </c>
      <c r="G2563" s="3">
        <v>374.3</v>
      </c>
      <c r="H2563" t="str">
        <f t="shared" si="46"/>
        <v>BCBS PAYABLE</v>
      </c>
    </row>
    <row r="2564" spans="5:8" x14ac:dyDescent="0.25">
      <c r="E2564" t="str">
        <f>""</f>
        <v/>
      </c>
      <c r="F2564" t="str">
        <f>""</f>
        <v/>
      </c>
      <c r="G2564" s="3">
        <v>19219.89</v>
      </c>
      <c r="H2564" t="str">
        <f t="shared" si="46"/>
        <v>BCBS PAYABLE</v>
      </c>
    </row>
    <row r="2565" spans="5:8" x14ac:dyDescent="0.25">
      <c r="E2565" t="str">
        <f>""</f>
        <v/>
      </c>
      <c r="F2565" t="str">
        <f>""</f>
        <v/>
      </c>
      <c r="G2565" s="3">
        <v>1111.58</v>
      </c>
      <c r="H2565" t="str">
        <f t="shared" si="46"/>
        <v>BCBS PAYABLE</v>
      </c>
    </row>
    <row r="2566" spans="5:8" x14ac:dyDescent="0.25">
      <c r="E2566" t="str">
        <f>""</f>
        <v/>
      </c>
      <c r="F2566" t="str">
        <f>""</f>
        <v/>
      </c>
      <c r="G2566" s="3">
        <v>20761.439999999999</v>
      </c>
      <c r="H2566" t="str">
        <f t="shared" si="46"/>
        <v>BCBS PAYABLE</v>
      </c>
    </row>
    <row r="2567" spans="5:8" x14ac:dyDescent="0.25">
      <c r="E2567" t="str">
        <f>""</f>
        <v/>
      </c>
      <c r="F2567" t="str">
        <f>""</f>
        <v/>
      </c>
      <c r="G2567" s="3">
        <v>4865.8999999999996</v>
      </c>
      <c r="H2567" t="str">
        <f t="shared" si="46"/>
        <v>BCBS PAYABLE</v>
      </c>
    </row>
    <row r="2568" spans="5:8" x14ac:dyDescent="0.25">
      <c r="E2568" t="str">
        <f>""</f>
        <v/>
      </c>
      <c r="F2568" t="str">
        <f>""</f>
        <v/>
      </c>
      <c r="G2568" s="3">
        <v>374.3</v>
      </c>
      <c r="H2568" t="str">
        <f t="shared" si="46"/>
        <v>BCBS PAYABLE</v>
      </c>
    </row>
    <row r="2569" spans="5:8" x14ac:dyDescent="0.25">
      <c r="E2569" t="str">
        <f>""</f>
        <v/>
      </c>
      <c r="F2569" t="str">
        <f>""</f>
        <v/>
      </c>
      <c r="G2569" s="3">
        <v>748.6</v>
      </c>
      <c r="H2569" t="str">
        <f t="shared" si="46"/>
        <v>BCBS PAYABLE</v>
      </c>
    </row>
    <row r="2570" spans="5:8" x14ac:dyDescent="0.25">
      <c r="E2570" t="str">
        <f>""</f>
        <v/>
      </c>
      <c r="F2570" t="str">
        <f>""</f>
        <v/>
      </c>
      <c r="G2570" s="3">
        <v>95.91</v>
      </c>
      <c r="H2570" t="str">
        <f t="shared" si="46"/>
        <v>BCBS PAYABLE</v>
      </c>
    </row>
    <row r="2571" spans="5:8" x14ac:dyDescent="0.25">
      <c r="E2571" t="str">
        <f>""</f>
        <v/>
      </c>
      <c r="F2571" t="str">
        <f>""</f>
        <v/>
      </c>
      <c r="G2571" s="3">
        <v>748.6</v>
      </c>
      <c r="H2571" t="str">
        <f t="shared" si="46"/>
        <v>BCBS PAYABLE</v>
      </c>
    </row>
    <row r="2572" spans="5:8" x14ac:dyDescent="0.25">
      <c r="E2572" t="str">
        <f>""</f>
        <v/>
      </c>
      <c r="F2572" t="str">
        <f>""</f>
        <v/>
      </c>
      <c r="G2572" s="3">
        <v>374.3</v>
      </c>
      <c r="H2572" t="str">
        <f t="shared" si="46"/>
        <v>BCBS PAYABLE</v>
      </c>
    </row>
    <row r="2573" spans="5:8" x14ac:dyDescent="0.25">
      <c r="E2573" t="str">
        <f>""</f>
        <v/>
      </c>
      <c r="F2573" t="str">
        <f>""</f>
        <v/>
      </c>
      <c r="G2573" s="3">
        <v>748.6</v>
      </c>
      <c r="H2573" t="str">
        <f t="shared" si="46"/>
        <v>BCBS PAYABLE</v>
      </c>
    </row>
    <row r="2574" spans="5:8" x14ac:dyDescent="0.25">
      <c r="E2574" t="str">
        <f>""</f>
        <v/>
      </c>
      <c r="F2574" t="str">
        <f>""</f>
        <v/>
      </c>
      <c r="G2574" s="3">
        <v>748.6</v>
      </c>
      <c r="H2574" t="str">
        <f t="shared" si="46"/>
        <v>BCBS PAYABLE</v>
      </c>
    </row>
    <row r="2575" spans="5:8" x14ac:dyDescent="0.25">
      <c r="E2575" t="str">
        <f>""</f>
        <v/>
      </c>
      <c r="F2575" t="str">
        <f>""</f>
        <v/>
      </c>
      <c r="G2575" s="3">
        <v>414.85</v>
      </c>
      <c r="H2575" t="str">
        <f t="shared" si="46"/>
        <v>BCBS PAYABLE</v>
      </c>
    </row>
    <row r="2576" spans="5:8" x14ac:dyDescent="0.25">
      <c r="E2576" t="str">
        <f>""</f>
        <v/>
      </c>
      <c r="F2576" t="str">
        <f>""</f>
        <v/>
      </c>
      <c r="G2576" s="3">
        <v>3084.21</v>
      </c>
      <c r="H2576" t="str">
        <f t="shared" si="46"/>
        <v>BCBS PAYABLE</v>
      </c>
    </row>
    <row r="2577" spans="5:8" x14ac:dyDescent="0.25">
      <c r="E2577" t="str">
        <f>""</f>
        <v/>
      </c>
      <c r="F2577" t="str">
        <f>""</f>
        <v/>
      </c>
      <c r="G2577" s="3">
        <v>2925.45</v>
      </c>
      <c r="H2577" t="str">
        <f t="shared" si="46"/>
        <v>BCBS PAYABLE</v>
      </c>
    </row>
    <row r="2578" spans="5:8" x14ac:dyDescent="0.25">
      <c r="E2578" t="str">
        <f>""</f>
        <v/>
      </c>
      <c r="F2578" t="str">
        <f>""</f>
        <v/>
      </c>
      <c r="G2578" s="3">
        <v>4793.55</v>
      </c>
      <c r="H2578" t="str">
        <f t="shared" si="46"/>
        <v>BCBS PAYABLE</v>
      </c>
    </row>
    <row r="2579" spans="5:8" x14ac:dyDescent="0.25">
      <c r="E2579" t="str">
        <f>""</f>
        <v/>
      </c>
      <c r="F2579" t="str">
        <f>""</f>
        <v/>
      </c>
      <c r="G2579" s="3">
        <v>4050.55</v>
      </c>
      <c r="H2579" t="str">
        <f t="shared" si="46"/>
        <v>BCBS PAYABLE</v>
      </c>
    </row>
    <row r="2580" spans="5:8" x14ac:dyDescent="0.25">
      <c r="E2580" t="str">
        <f>""</f>
        <v/>
      </c>
      <c r="F2580" t="str">
        <f>""</f>
        <v/>
      </c>
      <c r="G2580" s="3">
        <v>374.3</v>
      </c>
      <c r="H2580" t="str">
        <f t="shared" si="46"/>
        <v>BCBS PAYABLE</v>
      </c>
    </row>
    <row r="2581" spans="5:8" x14ac:dyDescent="0.25">
      <c r="E2581" t="str">
        <f>""</f>
        <v/>
      </c>
      <c r="F2581" t="str">
        <f>""</f>
        <v/>
      </c>
      <c r="G2581" s="3">
        <v>652.69000000000005</v>
      </c>
      <c r="H2581" t="str">
        <f t="shared" si="46"/>
        <v>BCBS PAYABLE</v>
      </c>
    </row>
    <row r="2582" spans="5:8" x14ac:dyDescent="0.25">
      <c r="E2582" t="str">
        <f>""</f>
        <v/>
      </c>
      <c r="F2582" t="str">
        <f>""</f>
        <v/>
      </c>
      <c r="G2582" s="3">
        <v>2327.46</v>
      </c>
      <c r="H2582" t="str">
        <f t="shared" si="46"/>
        <v>BCBS PAYABLE</v>
      </c>
    </row>
    <row r="2583" spans="5:8" x14ac:dyDescent="0.25">
      <c r="E2583" t="str">
        <f>""</f>
        <v/>
      </c>
      <c r="F2583" t="str">
        <f>""</f>
        <v/>
      </c>
      <c r="G2583" s="3">
        <v>128.31</v>
      </c>
      <c r="H2583" t="str">
        <f t="shared" si="46"/>
        <v>BCBS PAYABLE</v>
      </c>
    </row>
    <row r="2584" spans="5:8" x14ac:dyDescent="0.25">
      <c r="E2584" t="str">
        <f>""</f>
        <v/>
      </c>
      <c r="F2584" t="str">
        <f>""</f>
        <v/>
      </c>
      <c r="G2584" s="3">
        <v>14.31</v>
      </c>
      <c r="H2584" t="str">
        <f t="shared" si="46"/>
        <v>BCBS PAYABLE</v>
      </c>
    </row>
    <row r="2585" spans="5:8" x14ac:dyDescent="0.25">
      <c r="E2585" t="str">
        <f>""</f>
        <v/>
      </c>
      <c r="F2585" t="str">
        <f>""</f>
        <v/>
      </c>
      <c r="G2585" s="3">
        <v>372.73</v>
      </c>
      <c r="H2585" t="str">
        <f t="shared" ref="H2585:H2648" si="47">"BCBS PAYABLE"</f>
        <v>BCBS PAYABLE</v>
      </c>
    </row>
    <row r="2586" spans="5:8" x14ac:dyDescent="0.25">
      <c r="E2586" t="str">
        <f>"2EO202109295921"</f>
        <v>2EO202109295921</v>
      </c>
      <c r="F2586" t="str">
        <f>"BCBS PAYABLE"</f>
        <v>BCBS PAYABLE</v>
      </c>
      <c r="G2586" s="3">
        <v>2994.4</v>
      </c>
      <c r="H2586" t="str">
        <f t="shared" si="47"/>
        <v>BCBS PAYABLE</v>
      </c>
    </row>
    <row r="2587" spans="5:8" x14ac:dyDescent="0.25">
      <c r="E2587" t="str">
        <f>"2EO202110136441"</f>
        <v>2EO202110136441</v>
      </c>
      <c r="F2587" t="str">
        <f>"BCBS PAYABLE"</f>
        <v>BCBS PAYABLE</v>
      </c>
      <c r="G2587" s="3">
        <v>748.6</v>
      </c>
      <c r="H2587" t="str">
        <f t="shared" si="47"/>
        <v>BCBS PAYABLE</v>
      </c>
    </row>
    <row r="2588" spans="5:8" x14ac:dyDescent="0.25">
      <c r="E2588" t="str">
        <f>""</f>
        <v/>
      </c>
      <c r="F2588" t="str">
        <f>""</f>
        <v/>
      </c>
      <c r="G2588" s="3">
        <v>487.66</v>
      </c>
      <c r="H2588" t="str">
        <f t="shared" si="47"/>
        <v>BCBS PAYABLE</v>
      </c>
    </row>
    <row r="2589" spans="5:8" x14ac:dyDescent="0.25">
      <c r="E2589" t="str">
        <f>""</f>
        <v/>
      </c>
      <c r="F2589" t="str">
        <f>""</f>
        <v/>
      </c>
      <c r="G2589" s="3">
        <v>2575.1799999999998</v>
      </c>
      <c r="H2589" t="str">
        <f t="shared" si="47"/>
        <v>BCBS PAYABLE</v>
      </c>
    </row>
    <row r="2590" spans="5:8" x14ac:dyDescent="0.25">
      <c r="E2590" t="str">
        <f>""</f>
        <v/>
      </c>
      <c r="F2590" t="str">
        <f>""</f>
        <v/>
      </c>
      <c r="G2590" s="3">
        <v>748.6</v>
      </c>
      <c r="H2590" t="str">
        <f t="shared" si="47"/>
        <v>BCBS PAYABLE</v>
      </c>
    </row>
    <row r="2591" spans="5:8" x14ac:dyDescent="0.25">
      <c r="E2591" t="str">
        <f>""</f>
        <v/>
      </c>
      <c r="F2591" t="str">
        <f>""</f>
        <v/>
      </c>
      <c r="G2591" s="3">
        <v>748.6</v>
      </c>
      <c r="H2591" t="str">
        <f t="shared" si="47"/>
        <v>BCBS PAYABLE</v>
      </c>
    </row>
    <row r="2592" spans="5:8" x14ac:dyDescent="0.25">
      <c r="E2592" t="str">
        <f>""</f>
        <v/>
      </c>
      <c r="F2592" t="str">
        <f>""</f>
        <v/>
      </c>
      <c r="G2592" s="3">
        <v>374.3</v>
      </c>
      <c r="H2592" t="str">
        <f t="shared" si="47"/>
        <v>BCBS PAYABLE</v>
      </c>
    </row>
    <row r="2593" spans="5:8" x14ac:dyDescent="0.25">
      <c r="E2593" t="str">
        <f>""</f>
        <v/>
      </c>
      <c r="F2593" t="str">
        <f>""</f>
        <v/>
      </c>
      <c r="G2593" s="3">
        <v>5988.8</v>
      </c>
      <c r="H2593" t="str">
        <f t="shared" si="47"/>
        <v>BCBS PAYABLE</v>
      </c>
    </row>
    <row r="2594" spans="5:8" x14ac:dyDescent="0.25">
      <c r="E2594" t="str">
        <f>""</f>
        <v/>
      </c>
      <c r="F2594" t="str">
        <f>""</f>
        <v/>
      </c>
      <c r="G2594" s="3">
        <v>748.6</v>
      </c>
      <c r="H2594" t="str">
        <f t="shared" si="47"/>
        <v>BCBS PAYABLE</v>
      </c>
    </row>
    <row r="2595" spans="5:8" x14ac:dyDescent="0.25">
      <c r="E2595" t="str">
        <f>""</f>
        <v/>
      </c>
      <c r="F2595" t="str">
        <f>""</f>
        <v/>
      </c>
      <c r="G2595" s="3">
        <v>1497.2</v>
      </c>
      <c r="H2595" t="str">
        <f t="shared" si="47"/>
        <v>BCBS PAYABLE</v>
      </c>
    </row>
    <row r="2596" spans="5:8" x14ac:dyDescent="0.25">
      <c r="E2596" t="str">
        <f>""</f>
        <v/>
      </c>
      <c r="F2596" t="str">
        <f>""</f>
        <v/>
      </c>
      <c r="G2596" s="3">
        <v>3743</v>
      </c>
      <c r="H2596" t="str">
        <f t="shared" si="47"/>
        <v>BCBS PAYABLE</v>
      </c>
    </row>
    <row r="2597" spans="5:8" x14ac:dyDescent="0.25">
      <c r="E2597" t="str">
        <f>""</f>
        <v/>
      </c>
      <c r="F2597" t="str">
        <f>""</f>
        <v/>
      </c>
      <c r="G2597" s="3">
        <v>748.6</v>
      </c>
      <c r="H2597" t="str">
        <f t="shared" si="47"/>
        <v>BCBS PAYABLE</v>
      </c>
    </row>
    <row r="2598" spans="5:8" x14ac:dyDescent="0.25">
      <c r="E2598" t="str">
        <f>""</f>
        <v/>
      </c>
      <c r="F2598" t="str">
        <f>""</f>
        <v/>
      </c>
      <c r="G2598" s="3">
        <v>1122.9000000000001</v>
      </c>
      <c r="H2598" t="str">
        <f t="shared" si="47"/>
        <v>BCBS PAYABLE</v>
      </c>
    </row>
    <row r="2599" spans="5:8" x14ac:dyDescent="0.25">
      <c r="E2599" t="str">
        <f>""</f>
        <v/>
      </c>
      <c r="F2599" t="str">
        <f>""</f>
        <v/>
      </c>
      <c r="G2599" s="3">
        <v>374.3</v>
      </c>
      <c r="H2599" t="str">
        <f t="shared" si="47"/>
        <v>BCBS PAYABLE</v>
      </c>
    </row>
    <row r="2600" spans="5:8" x14ac:dyDescent="0.25">
      <c r="E2600" t="str">
        <f>""</f>
        <v/>
      </c>
      <c r="F2600" t="str">
        <f>""</f>
        <v/>
      </c>
      <c r="G2600" s="3">
        <v>1122.9000000000001</v>
      </c>
      <c r="H2600" t="str">
        <f t="shared" si="47"/>
        <v>BCBS PAYABLE</v>
      </c>
    </row>
    <row r="2601" spans="5:8" x14ac:dyDescent="0.25">
      <c r="E2601" t="str">
        <f>""</f>
        <v/>
      </c>
      <c r="F2601" t="str">
        <f>""</f>
        <v/>
      </c>
      <c r="G2601" s="3">
        <v>748.6</v>
      </c>
      <c r="H2601" t="str">
        <f t="shared" si="47"/>
        <v>BCBS PAYABLE</v>
      </c>
    </row>
    <row r="2602" spans="5:8" x14ac:dyDescent="0.25">
      <c r="E2602" t="str">
        <f>""</f>
        <v/>
      </c>
      <c r="F2602" t="str">
        <f>""</f>
        <v/>
      </c>
      <c r="G2602" s="3">
        <v>3719.25</v>
      </c>
      <c r="H2602" t="str">
        <f t="shared" si="47"/>
        <v>BCBS PAYABLE</v>
      </c>
    </row>
    <row r="2603" spans="5:8" x14ac:dyDescent="0.25">
      <c r="E2603" t="str">
        <f>""</f>
        <v/>
      </c>
      <c r="F2603" t="str">
        <f>""</f>
        <v/>
      </c>
      <c r="G2603" s="3">
        <v>1122.9000000000001</v>
      </c>
      <c r="H2603" t="str">
        <f t="shared" si="47"/>
        <v>BCBS PAYABLE</v>
      </c>
    </row>
    <row r="2604" spans="5:8" x14ac:dyDescent="0.25">
      <c r="E2604" t="str">
        <f>""</f>
        <v/>
      </c>
      <c r="F2604" t="str">
        <f>""</f>
        <v/>
      </c>
      <c r="G2604" s="3">
        <v>748.6</v>
      </c>
      <c r="H2604" t="str">
        <f t="shared" si="47"/>
        <v>BCBS PAYABLE</v>
      </c>
    </row>
    <row r="2605" spans="5:8" x14ac:dyDescent="0.25">
      <c r="E2605" t="str">
        <f>""</f>
        <v/>
      </c>
      <c r="F2605" t="str">
        <f>""</f>
        <v/>
      </c>
      <c r="G2605" s="3">
        <v>374.3</v>
      </c>
      <c r="H2605" t="str">
        <f t="shared" si="47"/>
        <v>BCBS PAYABLE</v>
      </c>
    </row>
    <row r="2606" spans="5:8" x14ac:dyDescent="0.25">
      <c r="E2606" t="str">
        <f>""</f>
        <v/>
      </c>
      <c r="F2606" t="str">
        <f>""</f>
        <v/>
      </c>
      <c r="G2606" s="3">
        <v>3368.7</v>
      </c>
      <c r="H2606" t="str">
        <f t="shared" si="47"/>
        <v>BCBS PAYABLE</v>
      </c>
    </row>
    <row r="2607" spans="5:8" x14ac:dyDescent="0.25">
      <c r="E2607" t="str">
        <f>""</f>
        <v/>
      </c>
      <c r="F2607" t="str">
        <f>""</f>
        <v/>
      </c>
      <c r="G2607" s="3">
        <v>1497.2</v>
      </c>
      <c r="H2607" t="str">
        <f t="shared" si="47"/>
        <v>BCBS PAYABLE</v>
      </c>
    </row>
    <row r="2608" spans="5:8" x14ac:dyDescent="0.25">
      <c r="E2608" t="str">
        <f>""</f>
        <v/>
      </c>
      <c r="F2608" t="str">
        <f>""</f>
        <v/>
      </c>
      <c r="G2608" s="3">
        <v>2994.4</v>
      </c>
      <c r="H2608" t="str">
        <f t="shared" si="47"/>
        <v>BCBS PAYABLE</v>
      </c>
    </row>
    <row r="2609" spans="5:8" x14ac:dyDescent="0.25">
      <c r="E2609" t="str">
        <f>""</f>
        <v/>
      </c>
      <c r="F2609" t="str">
        <f>""</f>
        <v/>
      </c>
      <c r="G2609" s="3">
        <v>3743</v>
      </c>
      <c r="H2609" t="str">
        <f t="shared" si="47"/>
        <v>BCBS PAYABLE</v>
      </c>
    </row>
    <row r="2610" spans="5:8" x14ac:dyDescent="0.25">
      <c r="E2610" t="str">
        <f>""</f>
        <v/>
      </c>
      <c r="F2610" t="str">
        <f>""</f>
        <v/>
      </c>
      <c r="G2610" s="3">
        <v>6368.94</v>
      </c>
      <c r="H2610" t="str">
        <f t="shared" si="47"/>
        <v>BCBS PAYABLE</v>
      </c>
    </row>
    <row r="2611" spans="5:8" x14ac:dyDescent="0.25">
      <c r="E2611" t="str">
        <f>""</f>
        <v/>
      </c>
      <c r="F2611" t="str">
        <f>""</f>
        <v/>
      </c>
      <c r="G2611" s="3">
        <v>374.3</v>
      </c>
      <c r="H2611" t="str">
        <f t="shared" si="47"/>
        <v>BCBS PAYABLE</v>
      </c>
    </row>
    <row r="2612" spans="5:8" x14ac:dyDescent="0.25">
      <c r="E2612" t="str">
        <f>""</f>
        <v/>
      </c>
      <c r="F2612" t="str">
        <f>""</f>
        <v/>
      </c>
      <c r="G2612" s="3">
        <v>374.3</v>
      </c>
      <c r="H2612" t="str">
        <f t="shared" si="47"/>
        <v>BCBS PAYABLE</v>
      </c>
    </row>
    <row r="2613" spans="5:8" x14ac:dyDescent="0.25">
      <c r="E2613" t="str">
        <f>""</f>
        <v/>
      </c>
      <c r="F2613" t="str">
        <f>""</f>
        <v/>
      </c>
      <c r="G2613" s="3">
        <v>20153.95</v>
      </c>
      <c r="H2613" t="str">
        <f t="shared" si="47"/>
        <v>BCBS PAYABLE</v>
      </c>
    </row>
    <row r="2614" spans="5:8" x14ac:dyDescent="0.25">
      <c r="E2614" t="str">
        <f>""</f>
        <v/>
      </c>
      <c r="F2614" t="str">
        <f>""</f>
        <v/>
      </c>
      <c r="G2614" s="3">
        <v>1111.77</v>
      </c>
      <c r="H2614" t="str">
        <f t="shared" si="47"/>
        <v>BCBS PAYABLE</v>
      </c>
    </row>
    <row r="2615" spans="5:8" x14ac:dyDescent="0.25">
      <c r="E2615" t="str">
        <f>""</f>
        <v/>
      </c>
      <c r="F2615" t="str">
        <f>""</f>
        <v/>
      </c>
      <c r="G2615" s="3">
        <v>21406.03</v>
      </c>
      <c r="H2615" t="str">
        <f t="shared" si="47"/>
        <v>BCBS PAYABLE</v>
      </c>
    </row>
    <row r="2616" spans="5:8" x14ac:dyDescent="0.25">
      <c r="E2616" t="str">
        <f>""</f>
        <v/>
      </c>
      <c r="F2616" t="str">
        <f>""</f>
        <v/>
      </c>
      <c r="G2616" s="3">
        <v>4865.8999999999996</v>
      </c>
      <c r="H2616" t="str">
        <f t="shared" si="47"/>
        <v>BCBS PAYABLE</v>
      </c>
    </row>
    <row r="2617" spans="5:8" x14ac:dyDescent="0.25">
      <c r="E2617" t="str">
        <f>""</f>
        <v/>
      </c>
      <c r="F2617" t="str">
        <f>""</f>
        <v/>
      </c>
      <c r="G2617" s="3">
        <v>374.3</v>
      </c>
      <c r="H2617" t="str">
        <f t="shared" si="47"/>
        <v>BCBS PAYABLE</v>
      </c>
    </row>
    <row r="2618" spans="5:8" x14ac:dyDescent="0.25">
      <c r="E2618" t="str">
        <f>""</f>
        <v/>
      </c>
      <c r="F2618" t="str">
        <f>""</f>
        <v/>
      </c>
      <c r="G2618" s="3">
        <v>748.6</v>
      </c>
      <c r="H2618" t="str">
        <f t="shared" si="47"/>
        <v>BCBS PAYABLE</v>
      </c>
    </row>
    <row r="2619" spans="5:8" x14ac:dyDescent="0.25">
      <c r="E2619" t="str">
        <f>""</f>
        <v/>
      </c>
      <c r="F2619" t="str">
        <f>""</f>
        <v/>
      </c>
      <c r="G2619" s="3">
        <v>96.69</v>
      </c>
      <c r="H2619" t="str">
        <f t="shared" si="47"/>
        <v>BCBS PAYABLE</v>
      </c>
    </row>
    <row r="2620" spans="5:8" x14ac:dyDescent="0.25">
      <c r="E2620" t="str">
        <f>""</f>
        <v/>
      </c>
      <c r="F2620" t="str">
        <f>""</f>
        <v/>
      </c>
      <c r="G2620" s="3">
        <v>748.6</v>
      </c>
      <c r="H2620" t="str">
        <f t="shared" si="47"/>
        <v>BCBS PAYABLE</v>
      </c>
    </row>
    <row r="2621" spans="5:8" x14ac:dyDescent="0.25">
      <c r="E2621" t="str">
        <f>""</f>
        <v/>
      </c>
      <c r="F2621" t="str">
        <f>""</f>
        <v/>
      </c>
      <c r="G2621" s="3">
        <v>374.3</v>
      </c>
      <c r="H2621" t="str">
        <f t="shared" si="47"/>
        <v>BCBS PAYABLE</v>
      </c>
    </row>
    <row r="2622" spans="5:8" x14ac:dyDescent="0.25">
      <c r="E2622" t="str">
        <f>""</f>
        <v/>
      </c>
      <c r="F2622" t="str">
        <f>""</f>
        <v/>
      </c>
      <c r="G2622" s="3">
        <v>1122.9000000000001</v>
      </c>
      <c r="H2622" t="str">
        <f t="shared" si="47"/>
        <v>BCBS PAYABLE</v>
      </c>
    </row>
    <row r="2623" spans="5:8" x14ac:dyDescent="0.25">
      <c r="E2623" t="str">
        <f>""</f>
        <v/>
      </c>
      <c r="F2623" t="str">
        <f>""</f>
        <v/>
      </c>
      <c r="G2623" s="3">
        <v>748.6</v>
      </c>
      <c r="H2623" t="str">
        <f t="shared" si="47"/>
        <v>BCBS PAYABLE</v>
      </c>
    </row>
    <row r="2624" spans="5:8" x14ac:dyDescent="0.25">
      <c r="E2624" t="str">
        <f>""</f>
        <v/>
      </c>
      <c r="F2624" t="str">
        <f>""</f>
        <v/>
      </c>
      <c r="G2624" s="3">
        <v>419.22</v>
      </c>
      <c r="H2624" t="str">
        <f t="shared" si="47"/>
        <v>BCBS PAYABLE</v>
      </c>
    </row>
    <row r="2625" spans="5:8" x14ac:dyDescent="0.25">
      <c r="E2625" t="str">
        <f>""</f>
        <v/>
      </c>
      <c r="F2625" t="str">
        <f>""</f>
        <v/>
      </c>
      <c r="G2625" s="3">
        <v>3172.61</v>
      </c>
      <c r="H2625" t="str">
        <f t="shared" si="47"/>
        <v>BCBS PAYABLE</v>
      </c>
    </row>
    <row r="2626" spans="5:8" x14ac:dyDescent="0.25">
      <c r="E2626" t="str">
        <f>""</f>
        <v/>
      </c>
      <c r="F2626" t="str">
        <f>""</f>
        <v/>
      </c>
      <c r="G2626" s="3">
        <v>2549.67</v>
      </c>
      <c r="H2626" t="str">
        <f t="shared" si="47"/>
        <v>BCBS PAYABLE</v>
      </c>
    </row>
    <row r="2627" spans="5:8" x14ac:dyDescent="0.25">
      <c r="E2627" t="str">
        <f>""</f>
        <v/>
      </c>
      <c r="F2627" t="str">
        <f>""</f>
        <v/>
      </c>
      <c r="G2627" s="3">
        <v>4709.38</v>
      </c>
      <c r="H2627" t="str">
        <f t="shared" si="47"/>
        <v>BCBS PAYABLE</v>
      </c>
    </row>
    <row r="2628" spans="5:8" x14ac:dyDescent="0.25">
      <c r="E2628" t="str">
        <f>""</f>
        <v/>
      </c>
      <c r="F2628" t="str">
        <f>""</f>
        <v/>
      </c>
      <c r="G2628" s="3">
        <v>4046.84</v>
      </c>
      <c r="H2628" t="str">
        <f t="shared" si="47"/>
        <v>BCBS PAYABLE</v>
      </c>
    </row>
    <row r="2629" spans="5:8" x14ac:dyDescent="0.25">
      <c r="E2629" t="str">
        <f>""</f>
        <v/>
      </c>
      <c r="F2629" t="str">
        <f>""</f>
        <v/>
      </c>
      <c r="G2629" s="3">
        <v>651.91</v>
      </c>
      <c r="H2629" t="str">
        <f t="shared" si="47"/>
        <v>BCBS PAYABLE</v>
      </c>
    </row>
    <row r="2630" spans="5:8" x14ac:dyDescent="0.25">
      <c r="E2630" t="str">
        <f>""</f>
        <v/>
      </c>
      <c r="F2630" t="str">
        <f>""</f>
        <v/>
      </c>
      <c r="G2630" s="3">
        <v>9.83</v>
      </c>
      <c r="H2630" t="str">
        <f t="shared" si="47"/>
        <v>BCBS PAYABLE</v>
      </c>
    </row>
    <row r="2631" spans="5:8" x14ac:dyDescent="0.25">
      <c r="E2631" t="str">
        <f>""</f>
        <v/>
      </c>
      <c r="F2631" t="str">
        <f>""</f>
        <v/>
      </c>
      <c r="G2631" s="3">
        <v>13.92</v>
      </c>
      <c r="H2631" t="str">
        <f t="shared" si="47"/>
        <v>BCBS PAYABLE</v>
      </c>
    </row>
    <row r="2632" spans="5:8" x14ac:dyDescent="0.25">
      <c r="E2632" t="str">
        <f>""</f>
        <v/>
      </c>
      <c r="F2632" t="str">
        <f>""</f>
        <v/>
      </c>
      <c r="G2632" s="3">
        <v>372.75</v>
      </c>
      <c r="H2632" t="str">
        <f t="shared" si="47"/>
        <v>BCBS PAYABLE</v>
      </c>
    </row>
    <row r="2633" spans="5:8" x14ac:dyDescent="0.25">
      <c r="E2633" t="str">
        <f>"2EO202110136442"</f>
        <v>2EO202110136442</v>
      </c>
      <c r="F2633" t="str">
        <f>"BCBS PAYABLE"</f>
        <v>BCBS PAYABLE</v>
      </c>
      <c r="G2633" s="3">
        <v>2994.4</v>
      </c>
      <c r="H2633" t="str">
        <f t="shared" si="47"/>
        <v>BCBS PAYABLE</v>
      </c>
    </row>
    <row r="2634" spans="5:8" x14ac:dyDescent="0.25">
      <c r="E2634" t="str">
        <f>"2ES202109295920"</f>
        <v>2ES202109295920</v>
      </c>
      <c r="F2634" t="str">
        <f>"BCBS PAYABLE"</f>
        <v>BCBS PAYABLE</v>
      </c>
      <c r="G2634" s="3">
        <v>374.3</v>
      </c>
      <c r="H2634" t="str">
        <f t="shared" si="47"/>
        <v>BCBS PAYABLE</v>
      </c>
    </row>
    <row r="2635" spans="5:8" x14ac:dyDescent="0.25">
      <c r="E2635" t="str">
        <f>""</f>
        <v/>
      </c>
      <c r="F2635" t="str">
        <f>""</f>
        <v/>
      </c>
      <c r="G2635" s="3">
        <v>748.6</v>
      </c>
      <c r="H2635" t="str">
        <f t="shared" si="47"/>
        <v>BCBS PAYABLE</v>
      </c>
    </row>
    <row r="2636" spans="5:8" x14ac:dyDescent="0.25">
      <c r="E2636" t="str">
        <f>""</f>
        <v/>
      </c>
      <c r="F2636" t="str">
        <f>""</f>
        <v/>
      </c>
      <c r="G2636" s="3">
        <v>374.3</v>
      </c>
      <c r="H2636" t="str">
        <f t="shared" si="47"/>
        <v>BCBS PAYABLE</v>
      </c>
    </row>
    <row r="2637" spans="5:8" x14ac:dyDescent="0.25">
      <c r="E2637" t="str">
        <f>""</f>
        <v/>
      </c>
      <c r="F2637" t="str">
        <f>""</f>
        <v/>
      </c>
      <c r="G2637" s="3">
        <v>374.3</v>
      </c>
      <c r="H2637" t="str">
        <f t="shared" si="47"/>
        <v>BCBS PAYABLE</v>
      </c>
    </row>
    <row r="2638" spans="5:8" x14ac:dyDescent="0.25">
      <c r="E2638" t="str">
        <f>""</f>
        <v/>
      </c>
      <c r="F2638" t="str">
        <f>""</f>
        <v/>
      </c>
      <c r="G2638" s="3">
        <v>374.3</v>
      </c>
      <c r="H2638" t="str">
        <f t="shared" si="47"/>
        <v>BCBS PAYABLE</v>
      </c>
    </row>
    <row r="2639" spans="5:8" x14ac:dyDescent="0.25">
      <c r="E2639" t="str">
        <f>""</f>
        <v/>
      </c>
      <c r="F2639" t="str">
        <f>""</f>
        <v/>
      </c>
      <c r="G2639" s="3">
        <v>374.3</v>
      </c>
      <c r="H2639" t="str">
        <f t="shared" si="47"/>
        <v>BCBS PAYABLE</v>
      </c>
    </row>
    <row r="2640" spans="5:8" x14ac:dyDescent="0.25">
      <c r="E2640" t="str">
        <f>""</f>
        <v/>
      </c>
      <c r="F2640" t="str">
        <f>""</f>
        <v/>
      </c>
      <c r="G2640" s="3">
        <v>374.3</v>
      </c>
      <c r="H2640" t="str">
        <f t="shared" si="47"/>
        <v>BCBS PAYABLE</v>
      </c>
    </row>
    <row r="2641" spans="5:8" x14ac:dyDescent="0.25">
      <c r="E2641" t="str">
        <f>""</f>
        <v/>
      </c>
      <c r="F2641" t="str">
        <f>""</f>
        <v/>
      </c>
      <c r="G2641" s="3">
        <v>374.3</v>
      </c>
      <c r="H2641" t="str">
        <f t="shared" si="47"/>
        <v>BCBS PAYABLE</v>
      </c>
    </row>
    <row r="2642" spans="5:8" x14ac:dyDescent="0.25">
      <c r="E2642" t="str">
        <f>""</f>
        <v/>
      </c>
      <c r="F2642" t="str">
        <f>""</f>
        <v/>
      </c>
      <c r="G2642" s="3">
        <v>374.3</v>
      </c>
      <c r="H2642" t="str">
        <f t="shared" si="47"/>
        <v>BCBS PAYABLE</v>
      </c>
    </row>
    <row r="2643" spans="5:8" x14ac:dyDescent="0.25">
      <c r="E2643" t="str">
        <f>""</f>
        <v/>
      </c>
      <c r="F2643" t="str">
        <f>""</f>
        <v/>
      </c>
      <c r="G2643" s="3">
        <v>748.6</v>
      </c>
      <c r="H2643" t="str">
        <f t="shared" si="47"/>
        <v>BCBS PAYABLE</v>
      </c>
    </row>
    <row r="2644" spans="5:8" x14ac:dyDescent="0.25">
      <c r="E2644" t="str">
        <f>""</f>
        <v/>
      </c>
      <c r="F2644" t="str">
        <f>""</f>
        <v/>
      </c>
      <c r="G2644" s="3">
        <v>3904.81</v>
      </c>
      <c r="H2644" t="str">
        <f t="shared" si="47"/>
        <v>BCBS PAYABLE</v>
      </c>
    </row>
    <row r="2645" spans="5:8" x14ac:dyDescent="0.25">
      <c r="E2645" t="str">
        <f>""</f>
        <v/>
      </c>
      <c r="F2645" t="str">
        <f>""</f>
        <v/>
      </c>
      <c r="G2645" s="3">
        <v>1816.21</v>
      </c>
      <c r="H2645" t="str">
        <f t="shared" si="47"/>
        <v>BCBS PAYABLE</v>
      </c>
    </row>
    <row r="2646" spans="5:8" x14ac:dyDescent="0.25">
      <c r="E2646" t="str">
        <f>""</f>
        <v/>
      </c>
      <c r="F2646" t="str">
        <f>""</f>
        <v/>
      </c>
      <c r="G2646" s="3">
        <v>374.3</v>
      </c>
      <c r="H2646" t="str">
        <f t="shared" si="47"/>
        <v>BCBS PAYABLE</v>
      </c>
    </row>
    <row r="2647" spans="5:8" x14ac:dyDescent="0.25">
      <c r="E2647" t="str">
        <f>""</f>
        <v/>
      </c>
      <c r="F2647" t="str">
        <f>""</f>
        <v/>
      </c>
      <c r="G2647" s="3">
        <v>748.6</v>
      </c>
      <c r="H2647" t="str">
        <f t="shared" si="47"/>
        <v>BCBS PAYABLE</v>
      </c>
    </row>
    <row r="2648" spans="5:8" x14ac:dyDescent="0.25">
      <c r="E2648" t="str">
        <f>""</f>
        <v/>
      </c>
      <c r="F2648" t="str">
        <f>""</f>
        <v/>
      </c>
      <c r="G2648" s="3">
        <v>374.3</v>
      </c>
      <c r="H2648" t="str">
        <f t="shared" si="47"/>
        <v>BCBS PAYABLE</v>
      </c>
    </row>
    <row r="2649" spans="5:8" x14ac:dyDescent="0.25">
      <c r="E2649" t="str">
        <f>""</f>
        <v/>
      </c>
      <c r="F2649" t="str">
        <f>""</f>
        <v/>
      </c>
      <c r="G2649" s="3">
        <v>748.6</v>
      </c>
      <c r="H2649" t="str">
        <f t="shared" ref="H2649:H2675" si="48">"BCBS PAYABLE"</f>
        <v>BCBS PAYABLE</v>
      </c>
    </row>
    <row r="2650" spans="5:8" x14ac:dyDescent="0.25">
      <c r="E2650" t="str">
        <f>""</f>
        <v/>
      </c>
      <c r="F2650" t="str">
        <f>""</f>
        <v/>
      </c>
      <c r="G2650" s="3">
        <v>374.3</v>
      </c>
      <c r="H2650" t="str">
        <f t="shared" si="48"/>
        <v>BCBS PAYABLE</v>
      </c>
    </row>
    <row r="2651" spans="5:8" x14ac:dyDescent="0.25">
      <c r="E2651" t="str">
        <f>""</f>
        <v/>
      </c>
      <c r="F2651" t="str">
        <f>""</f>
        <v/>
      </c>
      <c r="G2651" s="3">
        <v>267.77999999999997</v>
      </c>
      <c r="H2651" t="str">
        <f t="shared" si="48"/>
        <v>BCBS PAYABLE</v>
      </c>
    </row>
    <row r="2652" spans="5:8" x14ac:dyDescent="0.25">
      <c r="E2652" t="str">
        <f>""</f>
        <v/>
      </c>
      <c r="F2652" t="str">
        <f>""</f>
        <v/>
      </c>
      <c r="G2652" s="3">
        <v>7733.95</v>
      </c>
      <c r="H2652" t="str">
        <f t="shared" si="48"/>
        <v>BCBS PAYABLE</v>
      </c>
    </row>
    <row r="2653" spans="5:8" x14ac:dyDescent="0.25">
      <c r="E2653" t="str">
        <f>"2ES202109295921"</f>
        <v>2ES202109295921</v>
      </c>
      <c r="F2653" t="str">
        <f>"BCBS PAYABLE"</f>
        <v>BCBS PAYABLE</v>
      </c>
      <c r="G2653" s="3">
        <v>374.3</v>
      </c>
      <c r="H2653" t="str">
        <f t="shared" si="48"/>
        <v>BCBS PAYABLE</v>
      </c>
    </row>
    <row r="2654" spans="5:8" x14ac:dyDescent="0.25">
      <c r="E2654" t="str">
        <f>""</f>
        <v/>
      </c>
      <c r="F2654" t="str">
        <f>""</f>
        <v/>
      </c>
      <c r="G2654" s="3">
        <v>220.97</v>
      </c>
      <c r="H2654" t="str">
        <f t="shared" si="48"/>
        <v>BCBS PAYABLE</v>
      </c>
    </row>
    <row r="2655" spans="5:8" x14ac:dyDescent="0.25">
      <c r="E2655" t="str">
        <f>"2ES202110136441"</f>
        <v>2ES202110136441</v>
      </c>
      <c r="F2655" t="str">
        <f>"BCBS PAYABLE"</f>
        <v>BCBS PAYABLE</v>
      </c>
      <c r="G2655" s="3">
        <v>374.3</v>
      </c>
      <c r="H2655" t="str">
        <f t="shared" si="48"/>
        <v>BCBS PAYABLE</v>
      </c>
    </row>
    <row r="2656" spans="5:8" x14ac:dyDescent="0.25">
      <c r="E2656" t="str">
        <f>""</f>
        <v/>
      </c>
      <c r="F2656" t="str">
        <f>""</f>
        <v/>
      </c>
      <c r="G2656" s="3">
        <v>748.6</v>
      </c>
      <c r="H2656" t="str">
        <f t="shared" si="48"/>
        <v>BCBS PAYABLE</v>
      </c>
    </row>
    <row r="2657" spans="5:8" x14ac:dyDescent="0.25">
      <c r="E2657" t="str">
        <f>""</f>
        <v/>
      </c>
      <c r="F2657" t="str">
        <f>""</f>
        <v/>
      </c>
      <c r="G2657" s="3">
        <v>374.3</v>
      </c>
      <c r="H2657" t="str">
        <f t="shared" si="48"/>
        <v>BCBS PAYABLE</v>
      </c>
    </row>
    <row r="2658" spans="5:8" x14ac:dyDescent="0.25">
      <c r="E2658" t="str">
        <f>""</f>
        <v/>
      </c>
      <c r="F2658" t="str">
        <f>""</f>
        <v/>
      </c>
      <c r="G2658" s="3">
        <v>374.3</v>
      </c>
      <c r="H2658" t="str">
        <f t="shared" si="48"/>
        <v>BCBS PAYABLE</v>
      </c>
    </row>
    <row r="2659" spans="5:8" x14ac:dyDescent="0.25">
      <c r="E2659" t="str">
        <f>""</f>
        <v/>
      </c>
      <c r="F2659" t="str">
        <f>""</f>
        <v/>
      </c>
      <c r="G2659" s="3">
        <v>374.3</v>
      </c>
      <c r="H2659" t="str">
        <f t="shared" si="48"/>
        <v>BCBS PAYABLE</v>
      </c>
    </row>
    <row r="2660" spans="5:8" x14ac:dyDescent="0.25">
      <c r="E2660" t="str">
        <f>""</f>
        <v/>
      </c>
      <c r="F2660" t="str">
        <f>""</f>
        <v/>
      </c>
      <c r="G2660" s="3">
        <v>374.3</v>
      </c>
      <c r="H2660" t="str">
        <f t="shared" si="48"/>
        <v>BCBS PAYABLE</v>
      </c>
    </row>
    <row r="2661" spans="5:8" x14ac:dyDescent="0.25">
      <c r="E2661" t="str">
        <f>""</f>
        <v/>
      </c>
      <c r="F2661" t="str">
        <f>""</f>
        <v/>
      </c>
      <c r="G2661" s="3">
        <v>374.3</v>
      </c>
      <c r="H2661" t="str">
        <f t="shared" si="48"/>
        <v>BCBS PAYABLE</v>
      </c>
    </row>
    <row r="2662" spans="5:8" x14ac:dyDescent="0.25">
      <c r="E2662" t="str">
        <f>""</f>
        <v/>
      </c>
      <c r="F2662" t="str">
        <f>""</f>
        <v/>
      </c>
      <c r="G2662" s="3">
        <v>374.3</v>
      </c>
      <c r="H2662" t="str">
        <f t="shared" si="48"/>
        <v>BCBS PAYABLE</v>
      </c>
    </row>
    <row r="2663" spans="5:8" x14ac:dyDescent="0.25">
      <c r="E2663" t="str">
        <f>""</f>
        <v/>
      </c>
      <c r="F2663" t="str">
        <f>""</f>
        <v/>
      </c>
      <c r="G2663" s="3">
        <v>374.3</v>
      </c>
      <c r="H2663" t="str">
        <f t="shared" si="48"/>
        <v>BCBS PAYABLE</v>
      </c>
    </row>
    <row r="2664" spans="5:8" x14ac:dyDescent="0.25">
      <c r="E2664" t="str">
        <f>""</f>
        <v/>
      </c>
      <c r="F2664" t="str">
        <f>""</f>
        <v/>
      </c>
      <c r="G2664" s="3">
        <v>748.6</v>
      </c>
      <c r="H2664" t="str">
        <f t="shared" si="48"/>
        <v>BCBS PAYABLE</v>
      </c>
    </row>
    <row r="2665" spans="5:8" x14ac:dyDescent="0.25">
      <c r="E2665" t="str">
        <f>""</f>
        <v/>
      </c>
      <c r="F2665" t="str">
        <f>""</f>
        <v/>
      </c>
      <c r="G2665" s="3">
        <v>4515.21</v>
      </c>
      <c r="H2665" t="str">
        <f t="shared" si="48"/>
        <v>BCBS PAYABLE</v>
      </c>
    </row>
    <row r="2666" spans="5:8" x14ac:dyDescent="0.25">
      <c r="E2666" t="str">
        <f>""</f>
        <v/>
      </c>
      <c r="F2666" t="str">
        <f>""</f>
        <v/>
      </c>
      <c r="G2666" s="3">
        <v>1847.89</v>
      </c>
      <c r="H2666" t="str">
        <f t="shared" si="48"/>
        <v>BCBS PAYABLE</v>
      </c>
    </row>
    <row r="2667" spans="5:8" x14ac:dyDescent="0.25">
      <c r="E2667" t="str">
        <f>""</f>
        <v/>
      </c>
      <c r="F2667" t="str">
        <f>""</f>
        <v/>
      </c>
      <c r="G2667" s="3">
        <v>374.3</v>
      </c>
      <c r="H2667" t="str">
        <f t="shared" si="48"/>
        <v>BCBS PAYABLE</v>
      </c>
    </row>
    <row r="2668" spans="5:8" x14ac:dyDescent="0.25">
      <c r="E2668" t="str">
        <f>""</f>
        <v/>
      </c>
      <c r="F2668" t="str">
        <f>""</f>
        <v/>
      </c>
      <c r="G2668" s="3">
        <v>374.3</v>
      </c>
      <c r="H2668" t="str">
        <f t="shared" si="48"/>
        <v>BCBS PAYABLE</v>
      </c>
    </row>
    <row r="2669" spans="5:8" x14ac:dyDescent="0.25">
      <c r="E2669" t="str">
        <f>""</f>
        <v/>
      </c>
      <c r="F2669" t="str">
        <f>""</f>
        <v/>
      </c>
      <c r="G2669" s="3">
        <v>748.6</v>
      </c>
      <c r="H2669" t="str">
        <f t="shared" si="48"/>
        <v>BCBS PAYABLE</v>
      </c>
    </row>
    <row r="2670" spans="5:8" x14ac:dyDescent="0.25">
      <c r="E2670" t="str">
        <f>""</f>
        <v/>
      </c>
      <c r="F2670" t="str">
        <f>""</f>
        <v/>
      </c>
      <c r="G2670" s="3">
        <v>374.3</v>
      </c>
      <c r="H2670" t="str">
        <f t="shared" si="48"/>
        <v>BCBS PAYABLE</v>
      </c>
    </row>
    <row r="2671" spans="5:8" x14ac:dyDescent="0.25">
      <c r="E2671" t="str">
        <f>""</f>
        <v/>
      </c>
      <c r="F2671" t="str">
        <f>""</f>
        <v/>
      </c>
      <c r="G2671" s="3">
        <v>374.3</v>
      </c>
      <c r="H2671" t="str">
        <f t="shared" si="48"/>
        <v>BCBS PAYABLE</v>
      </c>
    </row>
    <row r="2672" spans="5:8" x14ac:dyDescent="0.25">
      <c r="E2672" t="str">
        <f>""</f>
        <v/>
      </c>
      <c r="F2672" t="str">
        <f>""</f>
        <v/>
      </c>
      <c r="G2672" s="3">
        <v>748.6</v>
      </c>
      <c r="H2672" t="str">
        <f t="shared" si="48"/>
        <v>BCBS PAYABLE</v>
      </c>
    </row>
    <row r="2673" spans="1:8" x14ac:dyDescent="0.25">
      <c r="E2673" t="str">
        <f>""</f>
        <v/>
      </c>
      <c r="F2673" t="str">
        <f>""</f>
        <v/>
      </c>
      <c r="G2673" s="3">
        <v>8617.83</v>
      </c>
      <c r="H2673" t="str">
        <f t="shared" si="48"/>
        <v>BCBS PAYABLE</v>
      </c>
    </row>
    <row r="2674" spans="1:8" x14ac:dyDescent="0.25">
      <c r="E2674" t="str">
        <f>"2ES202110136442"</f>
        <v>2ES202110136442</v>
      </c>
      <c r="F2674" t="str">
        <f>"BCBS PAYABLE"</f>
        <v>BCBS PAYABLE</v>
      </c>
      <c r="G2674" s="3">
        <v>374.3</v>
      </c>
      <c r="H2674" t="str">
        <f t="shared" si="48"/>
        <v>BCBS PAYABLE</v>
      </c>
    </row>
    <row r="2675" spans="1:8" x14ac:dyDescent="0.25">
      <c r="E2675" t="str">
        <f>""</f>
        <v/>
      </c>
      <c r="F2675" t="str">
        <f>""</f>
        <v/>
      </c>
      <c r="G2675" s="3">
        <v>220.97</v>
      </c>
      <c r="H2675" t="str">
        <f t="shared" si="48"/>
        <v>BCBS PAYABLE</v>
      </c>
    </row>
    <row r="2676" spans="1:8" x14ac:dyDescent="0.25">
      <c r="A2676" t="s">
        <v>458</v>
      </c>
      <c r="B2676">
        <v>1350</v>
      </c>
      <c r="C2676" s="3">
        <v>7280.4</v>
      </c>
      <c r="D2676" s="4">
        <v>44470</v>
      </c>
      <c r="E2676" t="str">
        <f>"CPI202109295920"</f>
        <v>CPI202109295920</v>
      </c>
      <c r="F2676" t="str">
        <f>"DEFERRED COMP 457B PAYABLE"</f>
        <v>DEFERRED COMP 457B PAYABLE</v>
      </c>
      <c r="G2676" s="3">
        <v>5383</v>
      </c>
      <c r="H2676" t="str">
        <f>"DEFERRED COMP 457B PAYABLE"</f>
        <v>DEFERRED COMP 457B PAYABLE</v>
      </c>
    </row>
    <row r="2677" spans="1:8" x14ac:dyDescent="0.25">
      <c r="E2677" t="str">
        <f>"CPI202109295921"</f>
        <v>CPI202109295921</v>
      </c>
      <c r="F2677" t="str">
        <f>"DEFERRED COMP 457B PAYABLE"</f>
        <v>DEFERRED COMP 457B PAYABLE</v>
      </c>
      <c r="G2677" s="3">
        <v>95</v>
      </c>
      <c r="H2677" t="str">
        <f>"DEFERRED COMP 457B PAYABLE"</f>
        <v>DEFERRED COMP 457B PAYABLE</v>
      </c>
    </row>
    <row r="2678" spans="1:8" x14ac:dyDescent="0.25">
      <c r="E2678" t="str">
        <f>"CPL202109295920"</f>
        <v>CPL202109295920</v>
      </c>
      <c r="F2678" t="str">
        <f>"LOAN ON DEFERRED COMP"</f>
        <v>LOAN ON DEFERRED COMP</v>
      </c>
      <c r="G2678" s="3">
        <v>1802.4</v>
      </c>
      <c r="H2678" t="str">
        <f>"LOAN ON DEFERRED COMP"</f>
        <v>LOAN ON DEFERRED COMP</v>
      </c>
    </row>
    <row r="2679" spans="1:8" x14ac:dyDescent="0.25">
      <c r="A2679" t="s">
        <v>458</v>
      </c>
      <c r="B2679">
        <v>1357</v>
      </c>
      <c r="C2679" s="3">
        <v>7343.18</v>
      </c>
      <c r="D2679" s="4">
        <v>44484</v>
      </c>
      <c r="E2679" t="str">
        <f>"CPI202110136441"</f>
        <v>CPI202110136441</v>
      </c>
      <c r="F2679" t="str">
        <f>"DEFERRED COMP 457B PAYABLE"</f>
        <v>DEFERRED COMP 457B PAYABLE</v>
      </c>
      <c r="G2679" s="3">
        <v>5445.78</v>
      </c>
      <c r="H2679" t="str">
        <f>"DEFERRED COMP 457B PAYABLE"</f>
        <v>DEFERRED COMP 457B PAYABLE</v>
      </c>
    </row>
    <row r="2680" spans="1:8" x14ac:dyDescent="0.25">
      <c r="E2680" t="str">
        <f>"CPI202110136442"</f>
        <v>CPI202110136442</v>
      </c>
      <c r="F2680" t="str">
        <f>"DEFERRED COMP 457B PAYABLE"</f>
        <v>DEFERRED COMP 457B PAYABLE</v>
      </c>
      <c r="G2680" s="3">
        <v>95</v>
      </c>
      <c r="H2680" t="str">
        <f>"DEFERRED COMP 457B PAYABLE"</f>
        <v>DEFERRED COMP 457B PAYABLE</v>
      </c>
    </row>
    <row r="2681" spans="1:8" x14ac:dyDescent="0.25">
      <c r="E2681" t="str">
        <f>"CPL202110136441"</f>
        <v>CPL202110136441</v>
      </c>
      <c r="F2681" t="str">
        <f>"LOAN ON DEFERRED COMP"</f>
        <v>LOAN ON DEFERRED COMP</v>
      </c>
      <c r="G2681" s="3">
        <v>1802.4</v>
      </c>
      <c r="H2681" t="str">
        <f>"LOAN ON DEFERRED COMP"</f>
        <v>LOAN ON DEFERRED COMP</v>
      </c>
    </row>
    <row r="2682" spans="1:8" x14ac:dyDescent="0.25">
      <c r="A2682" t="s">
        <v>458</v>
      </c>
      <c r="B2682">
        <v>1399</v>
      </c>
      <c r="C2682" s="3">
        <v>7393.18</v>
      </c>
      <c r="D2682" s="4">
        <v>44498</v>
      </c>
      <c r="E2682" t="str">
        <f>"CPI202110276652"</f>
        <v>CPI202110276652</v>
      </c>
      <c r="F2682" t="str">
        <f>"DEFERRED COMP 457B PAYABLE"</f>
        <v>DEFERRED COMP 457B PAYABLE</v>
      </c>
      <c r="G2682" s="3">
        <v>5495.78</v>
      </c>
      <c r="H2682" t="str">
        <f>"DEFERRED COMP 457B PAYABLE"</f>
        <v>DEFERRED COMP 457B PAYABLE</v>
      </c>
    </row>
    <row r="2683" spans="1:8" x14ac:dyDescent="0.25">
      <c r="E2683" t="str">
        <f>"CPI202110276653"</f>
        <v>CPI202110276653</v>
      </c>
      <c r="F2683" t="str">
        <f>"DEFERRED COMP 457B PAYABLE"</f>
        <v>DEFERRED COMP 457B PAYABLE</v>
      </c>
      <c r="G2683" s="3">
        <v>95</v>
      </c>
      <c r="H2683" t="str">
        <f>"DEFERRED COMP 457B PAYABLE"</f>
        <v>DEFERRED COMP 457B PAYABLE</v>
      </c>
    </row>
    <row r="2684" spans="1:8" x14ac:dyDescent="0.25">
      <c r="E2684" t="str">
        <f>"CPL202110276652"</f>
        <v>CPL202110276652</v>
      </c>
      <c r="F2684" t="str">
        <f>"LOAN ON DEFERRED COMP"</f>
        <v>LOAN ON DEFERRED COMP</v>
      </c>
      <c r="G2684" s="3">
        <v>1802.4</v>
      </c>
      <c r="H2684" t="str">
        <f>"LOAN ON DEFERRED COMP"</f>
        <v>LOAN ON DEFERRED COMP</v>
      </c>
    </row>
    <row r="2685" spans="1:8" x14ac:dyDescent="0.25">
      <c r="A2685" t="s">
        <v>459</v>
      </c>
      <c r="B2685">
        <v>1349</v>
      </c>
      <c r="C2685" s="3">
        <v>3872.41</v>
      </c>
      <c r="D2685" s="4">
        <v>44470</v>
      </c>
      <c r="E2685" t="str">
        <f>"C2 202109295921"</f>
        <v>C2 202109295921</v>
      </c>
      <c r="F2685" t="str">
        <f>"0012982132CCL7445"</f>
        <v>0012982132CCL7445</v>
      </c>
      <c r="G2685" s="3">
        <v>692.31</v>
      </c>
      <c r="H2685" t="str">
        <f>"0012982132CCL7445"</f>
        <v>0012982132CCL7445</v>
      </c>
    </row>
    <row r="2686" spans="1:8" x14ac:dyDescent="0.25">
      <c r="E2686" t="str">
        <f>"C20202109295920"</f>
        <v>C20202109295920</v>
      </c>
      <c r="F2686" t="str">
        <f>"001003981107-12252"</f>
        <v>001003981107-12252</v>
      </c>
      <c r="G2686" s="3">
        <v>115.39</v>
      </c>
      <c r="H2686" t="str">
        <f>"001003981107-12252"</f>
        <v>001003981107-12252</v>
      </c>
    </row>
    <row r="2687" spans="1:8" x14ac:dyDescent="0.25">
      <c r="E2687" t="str">
        <f>"C42202109295920"</f>
        <v>C42202109295920</v>
      </c>
      <c r="F2687" t="str">
        <f>"001236769211-14410"</f>
        <v>001236769211-14410</v>
      </c>
      <c r="G2687" s="3">
        <v>230.31</v>
      </c>
      <c r="H2687" t="str">
        <f>"001236769211-14410"</f>
        <v>001236769211-14410</v>
      </c>
    </row>
    <row r="2688" spans="1:8" x14ac:dyDescent="0.25">
      <c r="E2688" t="str">
        <f>"C46202109295920"</f>
        <v>C46202109295920</v>
      </c>
      <c r="F2688" t="str">
        <f>"CAUSE# 11-14911"</f>
        <v>CAUSE# 11-14911</v>
      </c>
      <c r="G2688" s="3">
        <v>238.62</v>
      </c>
      <c r="H2688" t="str">
        <f>"CAUSE# 11-14911"</f>
        <v>CAUSE# 11-14911</v>
      </c>
    </row>
    <row r="2689" spans="1:8" x14ac:dyDescent="0.25">
      <c r="E2689" t="str">
        <f>"C60202109295920"</f>
        <v>C60202109295920</v>
      </c>
      <c r="F2689" t="str">
        <f>"00130730762012V300"</f>
        <v>00130730762012V300</v>
      </c>
      <c r="G2689" s="3">
        <v>399.32</v>
      </c>
      <c r="H2689" t="str">
        <f>"00130730762012V300"</f>
        <v>00130730762012V300</v>
      </c>
    </row>
    <row r="2690" spans="1:8" x14ac:dyDescent="0.25">
      <c r="E2690" t="str">
        <f>"C62202109295920"</f>
        <v>C62202109295920</v>
      </c>
      <c r="F2690" t="str">
        <f>"# 0012128865"</f>
        <v># 0012128865</v>
      </c>
      <c r="G2690" s="3">
        <v>243.23</v>
      </c>
      <c r="H2690" t="str">
        <f>"# 0012128865"</f>
        <v># 0012128865</v>
      </c>
    </row>
    <row r="2691" spans="1:8" x14ac:dyDescent="0.25">
      <c r="E2691" t="str">
        <f>"C66202109295920"</f>
        <v>C66202109295920</v>
      </c>
      <c r="F2691" t="str">
        <f>"# 0012871801"</f>
        <v># 0012871801</v>
      </c>
      <c r="G2691" s="3">
        <v>90</v>
      </c>
      <c r="H2691" t="str">
        <f>"# 0012871801"</f>
        <v># 0012871801</v>
      </c>
    </row>
    <row r="2692" spans="1:8" x14ac:dyDescent="0.25">
      <c r="E2692" t="str">
        <f>"C67202109295920"</f>
        <v>C67202109295920</v>
      </c>
      <c r="F2692" t="str">
        <f>"13154657"</f>
        <v>13154657</v>
      </c>
      <c r="G2692" s="3">
        <v>101.99</v>
      </c>
      <c r="H2692" t="str">
        <f>"13154657"</f>
        <v>13154657</v>
      </c>
    </row>
    <row r="2693" spans="1:8" x14ac:dyDescent="0.25">
      <c r="E2693" t="str">
        <f>"C69202109295920"</f>
        <v>C69202109295920</v>
      </c>
      <c r="F2693" t="str">
        <f>"0012046911423672"</f>
        <v>0012046911423672</v>
      </c>
      <c r="G2693" s="3">
        <v>138.91999999999999</v>
      </c>
      <c r="H2693" t="str">
        <f>"0012046911423672"</f>
        <v>0012046911423672</v>
      </c>
    </row>
    <row r="2694" spans="1:8" x14ac:dyDescent="0.25">
      <c r="E2694" t="str">
        <f>"C72202109295920"</f>
        <v>C72202109295920</v>
      </c>
      <c r="F2694" t="str">
        <f>"0012797601C20130529B"</f>
        <v>0012797601C20130529B</v>
      </c>
      <c r="G2694" s="3">
        <v>241.85</v>
      </c>
      <c r="H2694" t="str">
        <f>"0012797601C20130529B"</f>
        <v>0012797601C20130529B</v>
      </c>
    </row>
    <row r="2695" spans="1:8" x14ac:dyDescent="0.25">
      <c r="E2695" t="str">
        <f>"C78202109295920"</f>
        <v>C78202109295920</v>
      </c>
      <c r="F2695" t="str">
        <f>"00105115972005106221"</f>
        <v>00105115972005106221</v>
      </c>
      <c r="G2695" s="3">
        <v>245.08</v>
      </c>
      <c r="H2695" t="str">
        <f>"00105115972005106221"</f>
        <v>00105115972005106221</v>
      </c>
    </row>
    <row r="2696" spans="1:8" x14ac:dyDescent="0.25">
      <c r="E2696" t="str">
        <f>"C85202109295920"</f>
        <v>C85202109295920</v>
      </c>
      <c r="F2696" t="str">
        <f>"0012469425201770874"</f>
        <v>0012469425201770874</v>
      </c>
      <c r="G2696" s="3">
        <v>138.46</v>
      </c>
      <c r="H2696" t="str">
        <f>"0012469425201770874"</f>
        <v>0012469425201770874</v>
      </c>
    </row>
    <row r="2697" spans="1:8" x14ac:dyDescent="0.25">
      <c r="E2697" t="str">
        <f>"C86202109295920"</f>
        <v>C86202109295920</v>
      </c>
      <c r="F2697" t="str">
        <f>"0013854015101285F"</f>
        <v>0013854015101285F</v>
      </c>
      <c r="G2697" s="3">
        <v>241.85</v>
      </c>
      <c r="H2697" t="str">
        <f>"0013854015101285F"</f>
        <v>0013854015101285F</v>
      </c>
    </row>
    <row r="2698" spans="1:8" x14ac:dyDescent="0.25">
      <c r="E2698" t="str">
        <f>"C87202109295920"</f>
        <v>C87202109295920</v>
      </c>
      <c r="F2698" t="str">
        <f>"0012963634L130019CVB"</f>
        <v>0012963634L130019CVB</v>
      </c>
      <c r="G2698" s="3">
        <v>249.23</v>
      </c>
      <c r="H2698" t="str">
        <f>"0012963634L130019CVB"</f>
        <v>0012963634L130019CVB</v>
      </c>
    </row>
    <row r="2699" spans="1:8" x14ac:dyDescent="0.25">
      <c r="E2699" t="str">
        <f>"C89202109295920"</f>
        <v>C89202109295920</v>
      </c>
      <c r="F2699" t="str">
        <f>"00127760434232477"</f>
        <v>00127760434232477</v>
      </c>
      <c r="G2699" s="3">
        <v>129.69</v>
      </c>
      <c r="H2699" t="str">
        <f>"00127760434232477"</f>
        <v>00127760434232477</v>
      </c>
    </row>
    <row r="2700" spans="1:8" x14ac:dyDescent="0.25">
      <c r="E2700" t="str">
        <f>"C94202109295920"</f>
        <v>C94202109295920</v>
      </c>
      <c r="F2700" t="str">
        <f>"00135877551718312"</f>
        <v>00135877551718312</v>
      </c>
      <c r="G2700" s="3">
        <v>221.54</v>
      </c>
      <c r="H2700" t="str">
        <f>"00135877551718312"</f>
        <v>00135877551718312</v>
      </c>
    </row>
    <row r="2701" spans="1:8" x14ac:dyDescent="0.25">
      <c r="E2701" t="str">
        <f>"C95202109295920"</f>
        <v>C95202109295920</v>
      </c>
      <c r="F2701" t="str">
        <f>"0011792526423338"</f>
        <v>0011792526423338</v>
      </c>
      <c r="G2701" s="3">
        <v>154.62</v>
      </c>
      <c r="H2701" t="str">
        <f>"0011792526423338"</f>
        <v>0011792526423338</v>
      </c>
    </row>
    <row r="2702" spans="1:8" x14ac:dyDescent="0.25">
      <c r="A2702" t="s">
        <v>459</v>
      </c>
      <c r="B2702">
        <v>1356</v>
      </c>
      <c r="C2702" s="3">
        <v>4103.18</v>
      </c>
      <c r="D2702" s="4">
        <v>44484</v>
      </c>
      <c r="E2702" t="str">
        <f>"C2 202110136442"</f>
        <v>C2 202110136442</v>
      </c>
      <c r="F2702" t="str">
        <f>"0012982132CCL7445"</f>
        <v>0012982132CCL7445</v>
      </c>
      <c r="G2702" s="3">
        <v>692.31</v>
      </c>
      <c r="H2702" t="str">
        <f>"0012982132CCL7445"</f>
        <v>0012982132CCL7445</v>
      </c>
    </row>
    <row r="2703" spans="1:8" x14ac:dyDescent="0.25">
      <c r="E2703" t="str">
        <f>"C20202110136441"</f>
        <v>C20202110136441</v>
      </c>
      <c r="F2703" t="str">
        <f>"001003981107-12252"</f>
        <v>001003981107-12252</v>
      </c>
      <c r="G2703" s="3">
        <v>115.39</v>
      </c>
      <c r="H2703" t="str">
        <f>"001003981107-12252"</f>
        <v>001003981107-12252</v>
      </c>
    </row>
    <row r="2704" spans="1:8" x14ac:dyDescent="0.25">
      <c r="E2704" t="str">
        <f>"C42202110136441"</f>
        <v>C42202110136441</v>
      </c>
      <c r="F2704" t="str">
        <f>"001236769211-14410"</f>
        <v>001236769211-14410</v>
      </c>
      <c r="G2704" s="3">
        <v>230.31</v>
      </c>
      <c r="H2704" t="str">
        <f>"001236769211-14410"</f>
        <v>001236769211-14410</v>
      </c>
    </row>
    <row r="2705" spans="1:8" x14ac:dyDescent="0.25">
      <c r="E2705" t="str">
        <f>"C46202110136441"</f>
        <v>C46202110136441</v>
      </c>
      <c r="F2705" t="str">
        <f>"CAUSE# 11-14911"</f>
        <v>CAUSE# 11-14911</v>
      </c>
      <c r="G2705" s="3">
        <v>238.62</v>
      </c>
      <c r="H2705" t="str">
        <f>"CAUSE# 11-14911"</f>
        <v>CAUSE# 11-14911</v>
      </c>
    </row>
    <row r="2706" spans="1:8" x14ac:dyDescent="0.25">
      <c r="E2706" t="str">
        <f>"C60202110136441"</f>
        <v>C60202110136441</v>
      </c>
      <c r="F2706" t="str">
        <f>"00130730762012V300"</f>
        <v>00130730762012V300</v>
      </c>
      <c r="G2706" s="3">
        <v>399.32</v>
      </c>
      <c r="H2706" t="str">
        <f>"00130730762012V300"</f>
        <v>00130730762012V300</v>
      </c>
    </row>
    <row r="2707" spans="1:8" x14ac:dyDescent="0.25">
      <c r="E2707" t="str">
        <f>"C62202110136441"</f>
        <v>C62202110136441</v>
      </c>
      <c r="F2707" t="str">
        <f>"# 0012128865"</f>
        <v># 0012128865</v>
      </c>
      <c r="G2707" s="3">
        <v>243.23</v>
      </c>
      <c r="H2707" t="str">
        <f>"# 0012128865"</f>
        <v># 0012128865</v>
      </c>
    </row>
    <row r="2708" spans="1:8" x14ac:dyDescent="0.25">
      <c r="E2708" t="str">
        <f>"C66202110136441"</f>
        <v>C66202110136441</v>
      </c>
      <c r="F2708" t="str">
        <f>"# 0012871801"</f>
        <v># 0012871801</v>
      </c>
      <c r="G2708" s="3">
        <v>90</v>
      </c>
      <c r="H2708" t="str">
        <f>"# 0012871801"</f>
        <v># 0012871801</v>
      </c>
    </row>
    <row r="2709" spans="1:8" x14ac:dyDescent="0.25">
      <c r="E2709" t="str">
        <f>"C67202110136441"</f>
        <v>C67202110136441</v>
      </c>
      <c r="F2709" t="str">
        <f>"13154657"</f>
        <v>13154657</v>
      </c>
      <c r="G2709" s="3">
        <v>101.99</v>
      </c>
      <c r="H2709" t="str">
        <f>"13154657"</f>
        <v>13154657</v>
      </c>
    </row>
    <row r="2710" spans="1:8" x14ac:dyDescent="0.25">
      <c r="E2710" t="str">
        <f>"C69202110136441"</f>
        <v>C69202110136441</v>
      </c>
      <c r="F2710" t="str">
        <f>"0012046911423672"</f>
        <v>0012046911423672</v>
      </c>
      <c r="G2710" s="3">
        <v>138.91999999999999</v>
      </c>
      <c r="H2710" t="str">
        <f>"0012046911423672"</f>
        <v>0012046911423672</v>
      </c>
    </row>
    <row r="2711" spans="1:8" x14ac:dyDescent="0.25">
      <c r="E2711" t="str">
        <f>"C72202110136441"</f>
        <v>C72202110136441</v>
      </c>
      <c r="F2711" t="str">
        <f>"0012797601C20130529B"</f>
        <v>0012797601C20130529B</v>
      </c>
      <c r="G2711" s="3">
        <v>241.85</v>
      </c>
      <c r="H2711" t="str">
        <f>"0012797601C20130529B"</f>
        <v>0012797601C20130529B</v>
      </c>
    </row>
    <row r="2712" spans="1:8" x14ac:dyDescent="0.25">
      <c r="E2712" t="str">
        <f>"C78202110136441"</f>
        <v>C78202110136441</v>
      </c>
      <c r="F2712" t="str">
        <f>"00105115972005106221"</f>
        <v>00105115972005106221</v>
      </c>
      <c r="G2712" s="3">
        <v>245.08</v>
      </c>
      <c r="H2712" t="str">
        <f>"00105115972005106221"</f>
        <v>00105115972005106221</v>
      </c>
    </row>
    <row r="2713" spans="1:8" x14ac:dyDescent="0.25">
      <c r="E2713" t="str">
        <f>"C85202110136441"</f>
        <v>C85202110136441</v>
      </c>
      <c r="F2713" t="str">
        <f>"0012469425201770874"</f>
        <v>0012469425201770874</v>
      </c>
      <c r="G2713" s="3">
        <v>138.46</v>
      </c>
      <c r="H2713" t="str">
        <f>"0012469425201770874"</f>
        <v>0012469425201770874</v>
      </c>
    </row>
    <row r="2714" spans="1:8" x14ac:dyDescent="0.25">
      <c r="E2714" t="str">
        <f>"C86202110136441"</f>
        <v>C86202110136441</v>
      </c>
      <c r="F2714" t="str">
        <f>"0013854015101285F"</f>
        <v>0013854015101285F</v>
      </c>
      <c r="G2714" s="3">
        <v>241.85</v>
      </c>
      <c r="H2714" t="str">
        <f>"0013854015101285F"</f>
        <v>0013854015101285F</v>
      </c>
    </row>
    <row r="2715" spans="1:8" x14ac:dyDescent="0.25">
      <c r="E2715" t="str">
        <f>"C87202110136441"</f>
        <v>C87202110136441</v>
      </c>
      <c r="F2715" t="str">
        <f>"0012963634L130019CVB"</f>
        <v>0012963634L130019CVB</v>
      </c>
      <c r="G2715" s="3">
        <v>249.23</v>
      </c>
      <c r="H2715" t="str">
        <f>"0012963634L130019CVB"</f>
        <v>0012963634L130019CVB</v>
      </c>
    </row>
    <row r="2716" spans="1:8" x14ac:dyDescent="0.25">
      <c r="E2716" t="str">
        <f>"C89202110136441"</f>
        <v>C89202110136441</v>
      </c>
      <c r="F2716" t="str">
        <f>"00127760434232477"</f>
        <v>00127760434232477</v>
      </c>
      <c r="G2716" s="3">
        <v>129.69</v>
      </c>
      <c r="H2716" t="str">
        <f>"00127760434232477"</f>
        <v>00127760434232477</v>
      </c>
    </row>
    <row r="2717" spans="1:8" x14ac:dyDescent="0.25">
      <c r="E2717" t="str">
        <f>"C94202110136441"</f>
        <v>C94202110136441</v>
      </c>
      <c r="F2717" t="str">
        <f>"00135877551718312"</f>
        <v>00135877551718312</v>
      </c>
      <c r="G2717" s="3">
        <v>221.54</v>
      </c>
      <c r="H2717" t="str">
        <f>"00135877551718312"</f>
        <v>00135877551718312</v>
      </c>
    </row>
    <row r="2718" spans="1:8" x14ac:dyDescent="0.25">
      <c r="E2718" t="str">
        <f>"C95202110136441"</f>
        <v>C95202110136441</v>
      </c>
      <c r="F2718" t="str">
        <f>"0011792526423338"</f>
        <v>0011792526423338</v>
      </c>
      <c r="G2718" s="3">
        <v>154.62</v>
      </c>
      <c r="H2718" t="str">
        <f>"0011792526423338"</f>
        <v>0011792526423338</v>
      </c>
    </row>
    <row r="2719" spans="1:8" x14ac:dyDescent="0.25">
      <c r="E2719" t="str">
        <f>"C96202110136441"</f>
        <v>C96202110136441</v>
      </c>
      <c r="F2719" t="str">
        <f>"00141985294237814"</f>
        <v>00141985294237814</v>
      </c>
      <c r="G2719" s="3">
        <v>230.77</v>
      </c>
      <c r="H2719" t="str">
        <f>"00141985294237814"</f>
        <v>00141985294237814</v>
      </c>
    </row>
    <row r="2720" spans="1:8" x14ac:dyDescent="0.25">
      <c r="A2720" t="s">
        <v>459</v>
      </c>
      <c r="B2720">
        <v>1398</v>
      </c>
      <c r="C2720" s="3">
        <v>4103.18</v>
      </c>
      <c r="D2720" s="4">
        <v>44498</v>
      </c>
      <c r="E2720" t="str">
        <f>"C2 202110276653"</f>
        <v>C2 202110276653</v>
      </c>
      <c r="F2720" t="str">
        <f>"0012982132CCL7445"</f>
        <v>0012982132CCL7445</v>
      </c>
      <c r="G2720" s="3">
        <v>692.31</v>
      </c>
      <c r="H2720" t="str">
        <f>"0012982132CCL7445"</f>
        <v>0012982132CCL7445</v>
      </c>
    </row>
    <row r="2721" spans="5:8" x14ac:dyDescent="0.25">
      <c r="E2721" t="str">
        <f>"C20202110276652"</f>
        <v>C20202110276652</v>
      </c>
      <c r="F2721" t="str">
        <f>"001003981107-12252"</f>
        <v>001003981107-12252</v>
      </c>
      <c r="G2721" s="3">
        <v>115.39</v>
      </c>
      <c r="H2721" t="str">
        <f>"001003981107-12252"</f>
        <v>001003981107-12252</v>
      </c>
    </row>
    <row r="2722" spans="5:8" x14ac:dyDescent="0.25">
      <c r="E2722" t="str">
        <f>"C42202110276652"</f>
        <v>C42202110276652</v>
      </c>
      <c r="F2722" t="str">
        <f>"001236769211-14410"</f>
        <v>001236769211-14410</v>
      </c>
      <c r="G2722" s="3">
        <v>230.31</v>
      </c>
      <c r="H2722" t="str">
        <f>"001236769211-14410"</f>
        <v>001236769211-14410</v>
      </c>
    </row>
    <row r="2723" spans="5:8" x14ac:dyDescent="0.25">
      <c r="E2723" t="str">
        <f>"C46202110276652"</f>
        <v>C46202110276652</v>
      </c>
      <c r="F2723" t="str">
        <f>"CAUSE# 11-14911"</f>
        <v>CAUSE# 11-14911</v>
      </c>
      <c r="G2723" s="3">
        <v>238.62</v>
      </c>
      <c r="H2723" t="str">
        <f>"CAUSE# 11-14911"</f>
        <v>CAUSE# 11-14911</v>
      </c>
    </row>
    <row r="2724" spans="5:8" x14ac:dyDescent="0.25">
      <c r="E2724" t="str">
        <f>"C60202110276652"</f>
        <v>C60202110276652</v>
      </c>
      <c r="F2724" t="str">
        <f>"00130730762012V300"</f>
        <v>00130730762012V300</v>
      </c>
      <c r="G2724" s="3">
        <v>399.32</v>
      </c>
      <c r="H2724" t="str">
        <f>"00130730762012V300"</f>
        <v>00130730762012V300</v>
      </c>
    </row>
    <row r="2725" spans="5:8" x14ac:dyDescent="0.25">
      <c r="E2725" t="str">
        <f>"C62202110276652"</f>
        <v>C62202110276652</v>
      </c>
      <c r="F2725" t="str">
        <f>"# 0012128865"</f>
        <v># 0012128865</v>
      </c>
      <c r="G2725" s="3">
        <v>243.23</v>
      </c>
      <c r="H2725" t="str">
        <f>"# 0012128865"</f>
        <v># 0012128865</v>
      </c>
    </row>
    <row r="2726" spans="5:8" x14ac:dyDescent="0.25">
      <c r="E2726" t="str">
        <f>"C66202110276652"</f>
        <v>C66202110276652</v>
      </c>
      <c r="F2726" t="str">
        <f>"# 0012871801"</f>
        <v># 0012871801</v>
      </c>
      <c r="G2726" s="3">
        <v>90</v>
      </c>
      <c r="H2726" t="str">
        <f>"# 0012871801"</f>
        <v># 0012871801</v>
      </c>
    </row>
    <row r="2727" spans="5:8" x14ac:dyDescent="0.25">
      <c r="E2727" t="str">
        <f>"C67202110276652"</f>
        <v>C67202110276652</v>
      </c>
      <c r="F2727" t="str">
        <f>"13154657"</f>
        <v>13154657</v>
      </c>
      <c r="G2727" s="3">
        <v>101.99</v>
      </c>
      <c r="H2727" t="str">
        <f>"13154657"</f>
        <v>13154657</v>
      </c>
    </row>
    <row r="2728" spans="5:8" x14ac:dyDescent="0.25">
      <c r="E2728" t="str">
        <f>"C69202110276652"</f>
        <v>C69202110276652</v>
      </c>
      <c r="F2728" t="str">
        <f>"0012046911423672"</f>
        <v>0012046911423672</v>
      </c>
      <c r="G2728" s="3">
        <v>138.91999999999999</v>
      </c>
      <c r="H2728" t="str">
        <f>"0012046911423672"</f>
        <v>0012046911423672</v>
      </c>
    </row>
    <row r="2729" spans="5:8" x14ac:dyDescent="0.25">
      <c r="E2729" t="str">
        <f>"C72202110276652"</f>
        <v>C72202110276652</v>
      </c>
      <c r="F2729" t="str">
        <f>"0012797601C20130529B"</f>
        <v>0012797601C20130529B</v>
      </c>
      <c r="G2729" s="3">
        <v>241.85</v>
      </c>
      <c r="H2729" t="str">
        <f>"0012797601C20130529B"</f>
        <v>0012797601C20130529B</v>
      </c>
    </row>
    <row r="2730" spans="5:8" x14ac:dyDescent="0.25">
      <c r="E2730" t="str">
        <f>"C78202110276652"</f>
        <v>C78202110276652</v>
      </c>
      <c r="F2730" t="str">
        <f>"00105115972005106221"</f>
        <v>00105115972005106221</v>
      </c>
      <c r="G2730" s="3">
        <v>245.08</v>
      </c>
      <c r="H2730" t="str">
        <f>"00105115972005106221"</f>
        <v>00105115972005106221</v>
      </c>
    </row>
    <row r="2731" spans="5:8" x14ac:dyDescent="0.25">
      <c r="E2731" t="str">
        <f>"C85202110276652"</f>
        <v>C85202110276652</v>
      </c>
      <c r="F2731" t="str">
        <f>"0012469425201770874"</f>
        <v>0012469425201770874</v>
      </c>
      <c r="G2731" s="3">
        <v>138.46</v>
      </c>
      <c r="H2731" t="str">
        <f>"0012469425201770874"</f>
        <v>0012469425201770874</v>
      </c>
    </row>
    <row r="2732" spans="5:8" x14ac:dyDescent="0.25">
      <c r="E2732" t="str">
        <f>"C86202110276652"</f>
        <v>C86202110276652</v>
      </c>
      <c r="F2732" t="str">
        <f>"0013854015101285F"</f>
        <v>0013854015101285F</v>
      </c>
      <c r="G2732" s="3">
        <v>241.85</v>
      </c>
      <c r="H2732" t="str">
        <f>"0013854015101285F"</f>
        <v>0013854015101285F</v>
      </c>
    </row>
    <row r="2733" spans="5:8" x14ac:dyDescent="0.25">
      <c r="E2733" t="str">
        <f>"C87202110276652"</f>
        <v>C87202110276652</v>
      </c>
      <c r="F2733" t="str">
        <f>"0012963634L130019CVB"</f>
        <v>0012963634L130019CVB</v>
      </c>
      <c r="G2733" s="3">
        <v>249.23</v>
      </c>
      <c r="H2733" t="str">
        <f>"0012963634L130019CVB"</f>
        <v>0012963634L130019CVB</v>
      </c>
    </row>
    <row r="2734" spans="5:8" x14ac:dyDescent="0.25">
      <c r="E2734" t="str">
        <f>"C89202110276652"</f>
        <v>C89202110276652</v>
      </c>
      <c r="F2734" t="str">
        <f>"00127760434232477"</f>
        <v>00127760434232477</v>
      </c>
      <c r="G2734" s="3">
        <v>129.69</v>
      </c>
      <c r="H2734" t="str">
        <f>"00127760434232477"</f>
        <v>00127760434232477</v>
      </c>
    </row>
    <row r="2735" spans="5:8" x14ac:dyDescent="0.25">
      <c r="E2735" t="str">
        <f>"C94202110276652"</f>
        <v>C94202110276652</v>
      </c>
      <c r="F2735" t="str">
        <f>"00135877551718312"</f>
        <v>00135877551718312</v>
      </c>
      <c r="G2735" s="3">
        <v>221.54</v>
      </c>
      <c r="H2735" t="str">
        <f>"00135877551718312"</f>
        <v>00135877551718312</v>
      </c>
    </row>
    <row r="2736" spans="5:8" x14ac:dyDescent="0.25">
      <c r="E2736" t="str">
        <f>"C95202110276652"</f>
        <v>C95202110276652</v>
      </c>
      <c r="F2736" t="str">
        <f>"0011792526423338"</f>
        <v>0011792526423338</v>
      </c>
      <c r="G2736" s="3">
        <v>154.62</v>
      </c>
      <c r="H2736" t="str">
        <f>"0011792526423338"</f>
        <v>0011792526423338</v>
      </c>
    </row>
    <row r="2737" spans="1:8" x14ac:dyDescent="0.25">
      <c r="E2737" t="str">
        <f>"C96202110276652"</f>
        <v>C96202110276652</v>
      </c>
      <c r="F2737" t="str">
        <f>"00141985294237814"</f>
        <v>00141985294237814</v>
      </c>
      <c r="G2737" s="3">
        <v>230.77</v>
      </c>
      <c r="H2737" t="str">
        <f>"00141985294237814"</f>
        <v>00141985294237814</v>
      </c>
    </row>
    <row r="2738" spans="1:8" x14ac:dyDescent="0.25">
      <c r="A2738" t="s">
        <v>460</v>
      </c>
      <c r="B2738">
        <v>1400</v>
      </c>
      <c r="C2738" s="3">
        <v>572397.52</v>
      </c>
      <c r="D2738" s="4">
        <v>44498</v>
      </c>
      <c r="E2738" t="str">
        <f>"RET202109295920"</f>
        <v>RET202109295920</v>
      </c>
      <c r="F2738" t="str">
        <f>"TEXAS COUNTY &amp; DISTRICT RET"</f>
        <v>TEXAS COUNTY &amp; DISTRICT RET</v>
      </c>
      <c r="G2738" s="3">
        <v>914.16</v>
      </c>
      <c r="H2738" t="str">
        <f t="shared" ref="H2738:H2790" si="49">"TEXAS COUNTY &amp; DISTRICT RET"</f>
        <v>TEXAS COUNTY &amp; DISTRICT RET</v>
      </c>
    </row>
    <row r="2739" spans="1:8" x14ac:dyDescent="0.25">
      <c r="E2739" t="str">
        <f>""</f>
        <v/>
      </c>
      <c r="F2739" t="str">
        <f>""</f>
        <v/>
      </c>
      <c r="G2739" s="3">
        <v>647.16</v>
      </c>
      <c r="H2739" t="str">
        <f t="shared" si="49"/>
        <v>TEXAS COUNTY &amp; DISTRICT RET</v>
      </c>
    </row>
    <row r="2740" spans="1:8" x14ac:dyDescent="0.25">
      <c r="E2740" t="str">
        <f>""</f>
        <v/>
      </c>
      <c r="F2740" t="str">
        <f>""</f>
        <v/>
      </c>
      <c r="G2740" s="3">
        <v>1743.51</v>
      </c>
      <c r="H2740" t="str">
        <f t="shared" si="49"/>
        <v>TEXAS COUNTY &amp; DISTRICT RET</v>
      </c>
    </row>
    <row r="2741" spans="1:8" x14ac:dyDescent="0.25">
      <c r="E2741" t="str">
        <f>""</f>
        <v/>
      </c>
      <c r="F2741" t="str">
        <f>""</f>
        <v/>
      </c>
      <c r="G2741" s="3">
        <v>722.67</v>
      </c>
      <c r="H2741" t="str">
        <f t="shared" si="49"/>
        <v>TEXAS COUNTY &amp; DISTRICT RET</v>
      </c>
    </row>
    <row r="2742" spans="1:8" x14ac:dyDescent="0.25">
      <c r="E2742" t="str">
        <f>""</f>
        <v/>
      </c>
      <c r="F2742" t="str">
        <f>""</f>
        <v/>
      </c>
      <c r="G2742" s="3">
        <v>312.67</v>
      </c>
      <c r="H2742" t="str">
        <f t="shared" si="49"/>
        <v>TEXAS COUNTY &amp; DISTRICT RET</v>
      </c>
    </row>
    <row r="2743" spans="1:8" x14ac:dyDescent="0.25">
      <c r="E2743" t="str">
        <f>""</f>
        <v/>
      </c>
      <c r="F2743" t="str">
        <f>""</f>
        <v/>
      </c>
      <c r="G2743" s="3">
        <v>1477.03</v>
      </c>
      <c r="H2743" t="str">
        <f t="shared" si="49"/>
        <v>TEXAS COUNTY &amp; DISTRICT RET</v>
      </c>
    </row>
    <row r="2744" spans="1:8" x14ac:dyDescent="0.25">
      <c r="E2744" t="str">
        <f>""</f>
        <v/>
      </c>
      <c r="F2744" t="str">
        <f>""</f>
        <v/>
      </c>
      <c r="G2744" s="3">
        <v>4839.1499999999996</v>
      </c>
      <c r="H2744" t="str">
        <f t="shared" si="49"/>
        <v>TEXAS COUNTY &amp; DISTRICT RET</v>
      </c>
    </row>
    <row r="2745" spans="1:8" x14ac:dyDescent="0.25">
      <c r="E2745" t="str">
        <f>""</f>
        <v/>
      </c>
      <c r="F2745" t="str">
        <f>""</f>
        <v/>
      </c>
      <c r="G2745" s="3">
        <v>183.84</v>
      </c>
      <c r="H2745" t="str">
        <f t="shared" si="49"/>
        <v>TEXAS COUNTY &amp; DISTRICT RET</v>
      </c>
    </row>
    <row r="2746" spans="1:8" x14ac:dyDescent="0.25">
      <c r="E2746" t="str">
        <f>""</f>
        <v/>
      </c>
      <c r="F2746" t="str">
        <f>""</f>
        <v/>
      </c>
      <c r="G2746" s="3">
        <v>1466.1</v>
      </c>
      <c r="H2746" t="str">
        <f t="shared" si="49"/>
        <v>TEXAS COUNTY &amp; DISTRICT RET</v>
      </c>
    </row>
    <row r="2747" spans="1:8" x14ac:dyDescent="0.25">
      <c r="E2747" t="str">
        <f>""</f>
        <v/>
      </c>
      <c r="F2747" t="str">
        <f>""</f>
        <v/>
      </c>
      <c r="G2747" s="3">
        <v>1433.55</v>
      </c>
      <c r="H2747" t="str">
        <f t="shared" si="49"/>
        <v>TEXAS COUNTY &amp; DISTRICT RET</v>
      </c>
    </row>
    <row r="2748" spans="1:8" x14ac:dyDescent="0.25">
      <c r="E2748" t="str">
        <f>""</f>
        <v/>
      </c>
      <c r="F2748" t="str">
        <f>""</f>
        <v/>
      </c>
      <c r="G2748" s="3">
        <v>2677.04</v>
      </c>
      <c r="H2748" t="str">
        <f t="shared" si="49"/>
        <v>TEXAS COUNTY &amp; DISTRICT RET</v>
      </c>
    </row>
    <row r="2749" spans="1:8" x14ac:dyDescent="0.25">
      <c r="E2749" t="str">
        <f>""</f>
        <v/>
      </c>
      <c r="F2749" t="str">
        <f>""</f>
        <v/>
      </c>
      <c r="G2749" s="3">
        <v>806.08</v>
      </c>
      <c r="H2749" t="str">
        <f t="shared" si="49"/>
        <v>TEXAS COUNTY &amp; DISTRICT RET</v>
      </c>
    </row>
    <row r="2750" spans="1:8" x14ac:dyDescent="0.25">
      <c r="E2750" t="str">
        <f>""</f>
        <v/>
      </c>
      <c r="F2750" t="str">
        <f>""</f>
        <v/>
      </c>
      <c r="G2750" s="3">
        <v>661.69</v>
      </c>
      <c r="H2750" t="str">
        <f t="shared" si="49"/>
        <v>TEXAS COUNTY &amp; DISTRICT RET</v>
      </c>
    </row>
    <row r="2751" spans="1:8" x14ac:dyDescent="0.25">
      <c r="E2751" t="str">
        <f>""</f>
        <v/>
      </c>
      <c r="F2751" t="str">
        <f>""</f>
        <v/>
      </c>
      <c r="G2751" s="3">
        <v>697.68</v>
      </c>
      <c r="H2751" t="str">
        <f t="shared" si="49"/>
        <v>TEXAS COUNTY &amp; DISTRICT RET</v>
      </c>
    </row>
    <row r="2752" spans="1:8" x14ac:dyDescent="0.25">
      <c r="E2752" t="str">
        <f>""</f>
        <v/>
      </c>
      <c r="F2752" t="str">
        <f>""</f>
        <v/>
      </c>
      <c r="G2752" s="3">
        <v>735.04</v>
      </c>
      <c r="H2752" t="str">
        <f t="shared" si="49"/>
        <v>TEXAS COUNTY &amp; DISTRICT RET</v>
      </c>
    </row>
    <row r="2753" spans="5:8" x14ac:dyDescent="0.25">
      <c r="E2753" t="str">
        <f>""</f>
        <v/>
      </c>
      <c r="F2753" t="str">
        <f>""</f>
        <v/>
      </c>
      <c r="G2753" s="3">
        <v>385.4</v>
      </c>
      <c r="H2753" t="str">
        <f t="shared" si="49"/>
        <v>TEXAS COUNTY &amp; DISTRICT RET</v>
      </c>
    </row>
    <row r="2754" spans="5:8" x14ac:dyDescent="0.25">
      <c r="E2754" t="str">
        <f>""</f>
        <v/>
      </c>
      <c r="F2754" t="str">
        <f>""</f>
        <v/>
      </c>
      <c r="G2754" s="3">
        <v>4669.95</v>
      </c>
      <c r="H2754" t="str">
        <f t="shared" si="49"/>
        <v>TEXAS COUNTY &amp; DISTRICT RET</v>
      </c>
    </row>
    <row r="2755" spans="5:8" x14ac:dyDescent="0.25">
      <c r="E2755" t="str">
        <f>""</f>
        <v/>
      </c>
      <c r="F2755" t="str">
        <f>""</f>
        <v/>
      </c>
      <c r="G2755" s="3">
        <v>1838.56</v>
      </c>
      <c r="H2755" t="str">
        <f t="shared" si="49"/>
        <v>TEXAS COUNTY &amp; DISTRICT RET</v>
      </c>
    </row>
    <row r="2756" spans="5:8" x14ac:dyDescent="0.25">
      <c r="E2756" t="str">
        <f>""</f>
        <v/>
      </c>
      <c r="F2756" t="str">
        <f>""</f>
        <v/>
      </c>
      <c r="G2756" s="3">
        <v>939.79</v>
      </c>
      <c r="H2756" t="str">
        <f t="shared" si="49"/>
        <v>TEXAS COUNTY &amp; DISTRICT RET</v>
      </c>
    </row>
    <row r="2757" spans="5:8" x14ac:dyDescent="0.25">
      <c r="E2757" t="str">
        <f>""</f>
        <v/>
      </c>
      <c r="F2757" t="str">
        <f>""</f>
        <v/>
      </c>
      <c r="G2757" s="3">
        <v>858.91</v>
      </c>
      <c r="H2757" t="str">
        <f t="shared" si="49"/>
        <v>TEXAS COUNTY &amp; DISTRICT RET</v>
      </c>
    </row>
    <row r="2758" spans="5:8" x14ac:dyDescent="0.25">
      <c r="E2758" t="str">
        <f>""</f>
        <v/>
      </c>
      <c r="F2758" t="str">
        <f>""</f>
        <v/>
      </c>
      <c r="G2758" s="3">
        <v>2343.4899999999998</v>
      </c>
      <c r="H2758" t="str">
        <f t="shared" si="49"/>
        <v>TEXAS COUNTY &amp; DISTRICT RET</v>
      </c>
    </row>
    <row r="2759" spans="5:8" x14ac:dyDescent="0.25">
      <c r="E2759" t="str">
        <f>""</f>
        <v/>
      </c>
      <c r="F2759" t="str">
        <f>""</f>
        <v/>
      </c>
      <c r="G2759" s="3">
        <v>1301.69</v>
      </c>
      <c r="H2759" t="str">
        <f t="shared" si="49"/>
        <v>TEXAS COUNTY &amp; DISTRICT RET</v>
      </c>
    </row>
    <row r="2760" spans="5:8" x14ac:dyDescent="0.25">
      <c r="E2760" t="str">
        <f>""</f>
        <v/>
      </c>
      <c r="F2760" t="str">
        <f>""</f>
        <v/>
      </c>
      <c r="G2760" s="3">
        <v>3162.45</v>
      </c>
      <c r="H2760" t="str">
        <f t="shared" si="49"/>
        <v>TEXAS COUNTY &amp; DISTRICT RET</v>
      </c>
    </row>
    <row r="2761" spans="5:8" x14ac:dyDescent="0.25">
      <c r="E2761" t="str">
        <f>""</f>
        <v/>
      </c>
      <c r="F2761" t="str">
        <f>""</f>
        <v/>
      </c>
      <c r="G2761" s="3">
        <v>2259.44</v>
      </c>
      <c r="H2761" t="str">
        <f t="shared" si="49"/>
        <v>TEXAS COUNTY &amp; DISTRICT RET</v>
      </c>
    </row>
    <row r="2762" spans="5:8" x14ac:dyDescent="0.25">
      <c r="E2762" t="str">
        <f>""</f>
        <v/>
      </c>
      <c r="F2762" t="str">
        <f>""</f>
        <v/>
      </c>
      <c r="G2762" s="3">
        <v>4444.47</v>
      </c>
      <c r="H2762" t="str">
        <f t="shared" si="49"/>
        <v>TEXAS COUNTY &amp; DISTRICT RET</v>
      </c>
    </row>
    <row r="2763" spans="5:8" x14ac:dyDescent="0.25">
      <c r="E2763" t="str">
        <f>""</f>
        <v/>
      </c>
      <c r="F2763" t="str">
        <f>""</f>
        <v/>
      </c>
      <c r="G2763" s="3">
        <v>235.17</v>
      </c>
      <c r="H2763" t="str">
        <f t="shared" si="49"/>
        <v>TEXAS COUNTY &amp; DISTRICT RET</v>
      </c>
    </row>
    <row r="2764" spans="5:8" x14ac:dyDescent="0.25">
      <c r="E2764" t="str">
        <f>""</f>
        <v/>
      </c>
      <c r="F2764" t="str">
        <f>""</f>
        <v/>
      </c>
      <c r="G2764" s="3">
        <v>235.17</v>
      </c>
      <c r="H2764" t="str">
        <f t="shared" si="49"/>
        <v>TEXAS COUNTY &amp; DISTRICT RET</v>
      </c>
    </row>
    <row r="2765" spans="5:8" x14ac:dyDescent="0.25">
      <c r="E2765" t="str">
        <f>""</f>
        <v/>
      </c>
      <c r="F2765" t="str">
        <f>""</f>
        <v/>
      </c>
      <c r="G2765" s="3">
        <v>235.17</v>
      </c>
      <c r="H2765" t="str">
        <f t="shared" si="49"/>
        <v>TEXAS COUNTY &amp; DISTRICT RET</v>
      </c>
    </row>
    <row r="2766" spans="5:8" x14ac:dyDescent="0.25">
      <c r="E2766" t="str">
        <f>""</f>
        <v/>
      </c>
      <c r="F2766" t="str">
        <f>""</f>
        <v/>
      </c>
      <c r="G2766" s="3">
        <v>235.17</v>
      </c>
      <c r="H2766" t="str">
        <f t="shared" si="49"/>
        <v>TEXAS COUNTY &amp; DISTRICT RET</v>
      </c>
    </row>
    <row r="2767" spans="5:8" x14ac:dyDescent="0.25">
      <c r="E2767" t="str">
        <f>""</f>
        <v/>
      </c>
      <c r="F2767" t="str">
        <f>""</f>
        <v/>
      </c>
      <c r="G2767" s="3">
        <v>24206.59</v>
      </c>
      <c r="H2767" t="str">
        <f t="shared" si="49"/>
        <v>TEXAS COUNTY &amp; DISTRICT RET</v>
      </c>
    </row>
    <row r="2768" spans="5:8" x14ac:dyDescent="0.25">
      <c r="E2768" t="str">
        <f>""</f>
        <v/>
      </c>
      <c r="F2768" t="str">
        <f>""</f>
        <v/>
      </c>
      <c r="G2768" s="3">
        <v>1056.69</v>
      </c>
      <c r="H2768" t="str">
        <f t="shared" si="49"/>
        <v>TEXAS COUNTY &amp; DISTRICT RET</v>
      </c>
    </row>
    <row r="2769" spans="5:8" x14ac:dyDescent="0.25">
      <c r="E2769" t="str">
        <f>""</f>
        <v/>
      </c>
      <c r="F2769" t="str">
        <f>""</f>
        <v/>
      </c>
      <c r="G2769" s="3">
        <v>18511.09</v>
      </c>
      <c r="H2769" t="str">
        <f t="shared" si="49"/>
        <v>TEXAS COUNTY &amp; DISTRICT RET</v>
      </c>
    </row>
    <row r="2770" spans="5:8" x14ac:dyDescent="0.25">
      <c r="E2770" t="str">
        <f>""</f>
        <v/>
      </c>
      <c r="F2770" t="str">
        <f>""</f>
        <v/>
      </c>
      <c r="G2770" s="3">
        <v>2830.57</v>
      </c>
      <c r="H2770" t="str">
        <f t="shared" si="49"/>
        <v>TEXAS COUNTY &amp; DISTRICT RET</v>
      </c>
    </row>
    <row r="2771" spans="5:8" x14ac:dyDescent="0.25">
      <c r="E2771" t="str">
        <f>""</f>
        <v/>
      </c>
      <c r="F2771" t="str">
        <f>""</f>
        <v/>
      </c>
      <c r="G2771" s="3">
        <v>209.99</v>
      </c>
      <c r="H2771" t="str">
        <f t="shared" si="49"/>
        <v>TEXAS COUNTY &amp; DISTRICT RET</v>
      </c>
    </row>
    <row r="2772" spans="5:8" x14ac:dyDescent="0.25">
      <c r="E2772" t="str">
        <f>""</f>
        <v/>
      </c>
      <c r="F2772" t="str">
        <f>""</f>
        <v/>
      </c>
      <c r="G2772" s="3">
        <v>618.89</v>
      </c>
      <c r="H2772" t="str">
        <f t="shared" si="49"/>
        <v>TEXAS COUNTY &amp; DISTRICT RET</v>
      </c>
    </row>
    <row r="2773" spans="5:8" x14ac:dyDescent="0.25">
      <c r="E2773" t="str">
        <f>""</f>
        <v/>
      </c>
      <c r="F2773" t="str">
        <f>""</f>
        <v/>
      </c>
      <c r="G2773" s="3">
        <v>60.22</v>
      </c>
      <c r="H2773" t="str">
        <f t="shared" si="49"/>
        <v>TEXAS COUNTY &amp; DISTRICT RET</v>
      </c>
    </row>
    <row r="2774" spans="5:8" x14ac:dyDescent="0.25">
      <c r="E2774" t="str">
        <f>""</f>
        <v/>
      </c>
      <c r="F2774" t="str">
        <f>""</f>
        <v/>
      </c>
      <c r="G2774" s="3">
        <v>569.58000000000004</v>
      </c>
      <c r="H2774" t="str">
        <f t="shared" si="49"/>
        <v>TEXAS COUNTY &amp; DISTRICT RET</v>
      </c>
    </row>
    <row r="2775" spans="5:8" x14ac:dyDescent="0.25">
      <c r="E2775" t="str">
        <f>""</f>
        <v/>
      </c>
      <c r="F2775" t="str">
        <f>""</f>
        <v/>
      </c>
      <c r="G2775" s="3">
        <v>201.13</v>
      </c>
      <c r="H2775" t="str">
        <f t="shared" si="49"/>
        <v>TEXAS COUNTY &amp; DISTRICT RET</v>
      </c>
    </row>
    <row r="2776" spans="5:8" x14ac:dyDescent="0.25">
      <c r="E2776" t="str">
        <f>""</f>
        <v/>
      </c>
      <c r="F2776" t="str">
        <f>""</f>
        <v/>
      </c>
      <c r="G2776" s="3">
        <v>629.57000000000005</v>
      </c>
      <c r="H2776" t="str">
        <f t="shared" si="49"/>
        <v>TEXAS COUNTY &amp; DISTRICT RET</v>
      </c>
    </row>
    <row r="2777" spans="5:8" x14ac:dyDescent="0.25">
      <c r="E2777" t="str">
        <f>""</f>
        <v/>
      </c>
      <c r="F2777" t="str">
        <f>""</f>
        <v/>
      </c>
      <c r="G2777" s="3">
        <v>333.57</v>
      </c>
      <c r="H2777" t="str">
        <f t="shared" si="49"/>
        <v>TEXAS COUNTY &amp; DISTRICT RET</v>
      </c>
    </row>
    <row r="2778" spans="5:8" x14ac:dyDescent="0.25">
      <c r="E2778" t="str">
        <f>""</f>
        <v/>
      </c>
      <c r="F2778" t="str">
        <f>""</f>
        <v/>
      </c>
      <c r="G2778" s="3">
        <v>203.97</v>
      </c>
      <c r="H2778" t="str">
        <f t="shared" si="49"/>
        <v>TEXAS COUNTY &amp; DISTRICT RET</v>
      </c>
    </row>
    <row r="2779" spans="5:8" x14ac:dyDescent="0.25">
      <c r="E2779" t="str">
        <f>""</f>
        <v/>
      </c>
      <c r="F2779" t="str">
        <f>""</f>
        <v/>
      </c>
      <c r="G2779" s="3">
        <v>2859.24</v>
      </c>
      <c r="H2779" t="str">
        <f t="shared" si="49"/>
        <v>TEXAS COUNTY &amp; DISTRICT RET</v>
      </c>
    </row>
    <row r="2780" spans="5:8" x14ac:dyDescent="0.25">
      <c r="E2780" t="str">
        <f>""</f>
        <v/>
      </c>
      <c r="F2780" t="str">
        <f>""</f>
        <v/>
      </c>
      <c r="G2780" s="3">
        <v>3095.49</v>
      </c>
      <c r="H2780" t="str">
        <f t="shared" si="49"/>
        <v>TEXAS COUNTY &amp; DISTRICT RET</v>
      </c>
    </row>
    <row r="2781" spans="5:8" x14ac:dyDescent="0.25">
      <c r="E2781" t="str">
        <f>""</f>
        <v/>
      </c>
      <c r="F2781" t="str">
        <f>""</f>
        <v/>
      </c>
      <c r="G2781" s="3">
        <v>2977.22</v>
      </c>
      <c r="H2781" t="str">
        <f t="shared" si="49"/>
        <v>TEXAS COUNTY &amp; DISTRICT RET</v>
      </c>
    </row>
    <row r="2782" spans="5:8" x14ac:dyDescent="0.25">
      <c r="E2782" t="str">
        <f>""</f>
        <v/>
      </c>
      <c r="F2782" t="str">
        <f>""</f>
        <v/>
      </c>
      <c r="G2782" s="3">
        <v>3778.17</v>
      </c>
      <c r="H2782" t="str">
        <f t="shared" si="49"/>
        <v>TEXAS COUNTY &amp; DISTRICT RET</v>
      </c>
    </row>
    <row r="2783" spans="5:8" x14ac:dyDescent="0.25">
      <c r="E2783" t="str">
        <f>""</f>
        <v/>
      </c>
      <c r="F2783" t="str">
        <f>""</f>
        <v/>
      </c>
      <c r="G2783" s="3">
        <v>390.33</v>
      </c>
      <c r="H2783" t="str">
        <f t="shared" si="49"/>
        <v>TEXAS COUNTY &amp; DISTRICT RET</v>
      </c>
    </row>
    <row r="2784" spans="5:8" x14ac:dyDescent="0.25">
      <c r="E2784" t="str">
        <f>""</f>
        <v/>
      </c>
      <c r="F2784" t="str">
        <f>""</f>
        <v/>
      </c>
      <c r="G2784" s="3">
        <v>404.88</v>
      </c>
      <c r="H2784" t="str">
        <f t="shared" si="49"/>
        <v>TEXAS COUNTY &amp; DISTRICT RET</v>
      </c>
    </row>
    <row r="2785" spans="5:8" x14ac:dyDescent="0.25">
      <c r="E2785" t="str">
        <f>""</f>
        <v/>
      </c>
      <c r="F2785" t="str">
        <f>""</f>
        <v/>
      </c>
      <c r="G2785" s="3">
        <v>2986.79</v>
      </c>
      <c r="H2785" t="str">
        <f t="shared" si="49"/>
        <v>TEXAS COUNTY &amp; DISTRICT RET</v>
      </c>
    </row>
    <row r="2786" spans="5:8" x14ac:dyDescent="0.25">
      <c r="E2786" t="str">
        <f>""</f>
        <v/>
      </c>
      <c r="F2786" t="str">
        <f>""</f>
        <v/>
      </c>
      <c r="G2786" s="3">
        <v>53.98</v>
      </c>
      <c r="H2786" t="str">
        <f t="shared" si="49"/>
        <v>TEXAS COUNTY &amp; DISTRICT RET</v>
      </c>
    </row>
    <row r="2787" spans="5:8" x14ac:dyDescent="0.25">
      <c r="E2787" t="str">
        <f>""</f>
        <v/>
      </c>
      <c r="F2787" t="str">
        <f>""</f>
        <v/>
      </c>
      <c r="G2787" s="3">
        <v>26.88</v>
      </c>
      <c r="H2787" t="str">
        <f t="shared" si="49"/>
        <v>TEXAS COUNTY &amp; DISTRICT RET</v>
      </c>
    </row>
    <row r="2788" spans="5:8" x14ac:dyDescent="0.25">
      <c r="E2788" t="str">
        <f>""</f>
        <v/>
      </c>
      <c r="F2788" t="str">
        <f>""</f>
        <v/>
      </c>
      <c r="G2788" s="3">
        <v>37.950000000000003</v>
      </c>
      <c r="H2788" t="str">
        <f t="shared" si="49"/>
        <v>TEXAS COUNTY &amp; DISTRICT RET</v>
      </c>
    </row>
    <row r="2789" spans="5:8" x14ac:dyDescent="0.25">
      <c r="E2789" t="str">
        <f>""</f>
        <v/>
      </c>
      <c r="F2789" t="str">
        <f>""</f>
        <v/>
      </c>
      <c r="G2789" s="3">
        <v>640.99</v>
      </c>
      <c r="H2789" t="str">
        <f t="shared" si="49"/>
        <v>TEXAS COUNTY &amp; DISTRICT RET</v>
      </c>
    </row>
    <row r="2790" spans="5:8" x14ac:dyDescent="0.25">
      <c r="E2790" t="str">
        <f>""</f>
        <v/>
      </c>
      <c r="F2790" t="str">
        <f>""</f>
        <v/>
      </c>
      <c r="G2790" s="3">
        <v>70874.05</v>
      </c>
      <c r="H2790" t="str">
        <f t="shared" si="49"/>
        <v>TEXAS COUNTY &amp; DISTRICT RET</v>
      </c>
    </row>
    <row r="2791" spans="5:8" x14ac:dyDescent="0.25">
      <c r="E2791" t="str">
        <f>"RET202109295921"</f>
        <v>RET202109295921</v>
      </c>
      <c r="F2791" t="str">
        <f>"TEXAS COUNTY  DISTRICT RET"</f>
        <v>TEXAS COUNTY  DISTRICT RET</v>
      </c>
      <c r="G2791" s="3">
        <v>3634.7</v>
      </c>
      <c r="H2791" t="str">
        <f>"TEXAS COUNTY  DISTRICT RET"</f>
        <v>TEXAS COUNTY  DISTRICT RET</v>
      </c>
    </row>
    <row r="2792" spans="5:8" x14ac:dyDescent="0.25">
      <c r="E2792" t="str">
        <f>""</f>
        <v/>
      </c>
      <c r="F2792" t="str">
        <f>""</f>
        <v/>
      </c>
      <c r="G2792" s="3">
        <v>2360.1999999999998</v>
      </c>
      <c r="H2792" t="str">
        <f>"TEXAS COUNTY  DISTRICT RET"</f>
        <v>TEXAS COUNTY  DISTRICT RET</v>
      </c>
    </row>
    <row r="2793" spans="5:8" x14ac:dyDescent="0.25">
      <c r="E2793" t="str">
        <f>"RET202109295922"</f>
        <v>RET202109295922</v>
      </c>
      <c r="F2793" t="str">
        <f>"TEXAS COUNTY &amp; DISTRICT RET"</f>
        <v>TEXAS COUNTY &amp; DISTRICT RET</v>
      </c>
      <c r="G2793" s="3">
        <v>4347.7299999999996</v>
      </c>
      <c r="H2793" t="str">
        <f t="shared" ref="H2793:H2845" si="50">"TEXAS COUNTY &amp; DISTRICT RET"</f>
        <v>TEXAS COUNTY &amp; DISTRICT RET</v>
      </c>
    </row>
    <row r="2794" spans="5:8" x14ac:dyDescent="0.25">
      <c r="E2794" t="str">
        <f>""</f>
        <v/>
      </c>
      <c r="F2794" t="str">
        <f>""</f>
        <v/>
      </c>
      <c r="G2794" s="3">
        <v>2823.24</v>
      </c>
      <c r="H2794" t="str">
        <f t="shared" si="50"/>
        <v>TEXAS COUNTY &amp; DISTRICT RET</v>
      </c>
    </row>
    <row r="2795" spans="5:8" x14ac:dyDescent="0.25">
      <c r="E2795" t="str">
        <f>"RET202110136441"</f>
        <v>RET202110136441</v>
      </c>
      <c r="F2795" t="str">
        <f>"TEXAS COUNTY &amp; DISTRICT RET"</f>
        <v>TEXAS COUNTY &amp; DISTRICT RET</v>
      </c>
      <c r="G2795" s="3">
        <v>927.38</v>
      </c>
      <c r="H2795" t="str">
        <f t="shared" si="50"/>
        <v>TEXAS COUNTY &amp; DISTRICT RET</v>
      </c>
    </row>
    <row r="2796" spans="5:8" x14ac:dyDescent="0.25">
      <c r="E2796" t="str">
        <f>""</f>
        <v/>
      </c>
      <c r="F2796" t="str">
        <f>""</f>
        <v/>
      </c>
      <c r="G2796" s="3">
        <v>658.92</v>
      </c>
      <c r="H2796" t="str">
        <f t="shared" si="50"/>
        <v>TEXAS COUNTY &amp; DISTRICT RET</v>
      </c>
    </row>
    <row r="2797" spans="5:8" x14ac:dyDescent="0.25">
      <c r="E2797" t="str">
        <f>""</f>
        <v/>
      </c>
      <c r="F2797" t="str">
        <f>""</f>
        <v/>
      </c>
      <c r="G2797" s="3">
        <v>1774.59</v>
      </c>
      <c r="H2797" t="str">
        <f t="shared" si="50"/>
        <v>TEXAS COUNTY &amp; DISTRICT RET</v>
      </c>
    </row>
    <row r="2798" spans="5:8" x14ac:dyDescent="0.25">
      <c r="E2798" t="str">
        <f>""</f>
        <v/>
      </c>
      <c r="F2798" t="str">
        <f>""</f>
        <v/>
      </c>
      <c r="G2798" s="3">
        <v>734.39</v>
      </c>
      <c r="H2798" t="str">
        <f t="shared" si="50"/>
        <v>TEXAS COUNTY &amp; DISTRICT RET</v>
      </c>
    </row>
    <row r="2799" spans="5:8" x14ac:dyDescent="0.25">
      <c r="E2799" t="str">
        <f>""</f>
        <v/>
      </c>
      <c r="F2799" t="str">
        <f>""</f>
        <v/>
      </c>
      <c r="G2799" s="3">
        <v>316.48</v>
      </c>
      <c r="H2799" t="str">
        <f t="shared" si="50"/>
        <v>TEXAS COUNTY &amp; DISTRICT RET</v>
      </c>
    </row>
    <row r="2800" spans="5:8" x14ac:dyDescent="0.25">
      <c r="E2800" t="str">
        <f>""</f>
        <v/>
      </c>
      <c r="F2800" t="str">
        <f>""</f>
        <v/>
      </c>
      <c r="G2800" s="3">
        <v>1610.84</v>
      </c>
      <c r="H2800" t="str">
        <f t="shared" si="50"/>
        <v>TEXAS COUNTY &amp; DISTRICT RET</v>
      </c>
    </row>
    <row r="2801" spans="5:8" x14ac:dyDescent="0.25">
      <c r="E2801" t="str">
        <f>""</f>
        <v/>
      </c>
      <c r="F2801" t="str">
        <f>""</f>
        <v/>
      </c>
      <c r="G2801" s="3">
        <v>4666.43</v>
      </c>
      <c r="H2801" t="str">
        <f t="shared" si="50"/>
        <v>TEXAS COUNTY &amp; DISTRICT RET</v>
      </c>
    </row>
    <row r="2802" spans="5:8" x14ac:dyDescent="0.25">
      <c r="E2802" t="str">
        <f>""</f>
        <v/>
      </c>
      <c r="F2802" t="str">
        <f>""</f>
        <v/>
      </c>
      <c r="G2802" s="3">
        <v>187</v>
      </c>
      <c r="H2802" t="str">
        <f t="shared" si="50"/>
        <v>TEXAS COUNTY &amp; DISTRICT RET</v>
      </c>
    </row>
    <row r="2803" spans="5:8" x14ac:dyDescent="0.25">
      <c r="E2803" t="str">
        <f>""</f>
        <v/>
      </c>
      <c r="F2803" t="str">
        <f>""</f>
        <v/>
      </c>
      <c r="G2803" s="3">
        <v>1478.92</v>
      </c>
      <c r="H2803" t="str">
        <f t="shared" si="50"/>
        <v>TEXAS COUNTY &amp; DISTRICT RET</v>
      </c>
    </row>
    <row r="2804" spans="5:8" x14ac:dyDescent="0.25">
      <c r="E2804" t="str">
        <f>""</f>
        <v/>
      </c>
      <c r="F2804" t="str">
        <f>""</f>
        <v/>
      </c>
      <c r="G2804" s="3">
        <v>1482.89</v>
      </c>
      <c r="H2804" t="str">
        <f t="shared" si="50"/>
        <v>TEXAS COUNTY &amp; DISTRICT RET</v>
      </c>
    </row>
    <row r="2805" spans="5:8" x14ac:dyDescent="0.25">
      <c r="E2805" t="str">
        <f>""</f>
        <v/>
      </c>
      <c r="F2805" t="str">
        <f>""</f>
        <v/>
      </c>
      <c r="G2805" s="3">
        <v>2662.54</v>
      </c>
      <c r="H2805" t="str">
        <f t="shared" si="50"/>
        <v>TEXAS COUNTY &amp; DISTRICT RET</v>
      </c>
    </row>
    <row r="2806" spans="5:8" x14ac:dyDescent="0.25">
      <c r="E2806" t="str">
        <f>""</f>
        <v/>
      </c>
      <c r="F2806" t="str">
        <f>""</f>
        <v/>
      </c>
      <c r="G2806" s="3">
        <v>820.33</v>
      </c>
      <c r="H2806" t="str">
        <f t="shared" si="50"/>
        <v>TEXAS COUNTY &amp; DISTRICT RET</v>
      </c>
    </row>
    <row r="2807" spans="5:8" x14ac:dyDescent="0.25">
      <c r="E2807" t="str">
        <f>""</f>
        <v/>
      </c>
      <c r="F2807" t="str">
        <f>""</f>
        <v/>
      </c>
      <c r="G2807" s="3">
        <v>846.05</v>
      </c>
      <c r="H2807" t="str">
        <f t="shared" si="50"/>
        <v>TEXAS COUNTY &amp; DISTRICT RET</v>
      </c>
    </row>
    <row r="2808" spans="5:8" x14ac:dyDescent="0.25">
      <c r="E2808" t="str">
        <f>""</f>
        <v/>
      </c>
      <c r="F2808" t="str">
        <f>""</f>
        <v/>
      </c>
      <c r="G2808" s="3">
        <v>705.54</v>
      </c>
      <c r="H2808" t="str">
        <f t="shared" si="50"/>
        <v>TEXAS COUNTY &amp; DISTRICT RET</v>
      </c>
    </row>
    <row r="2809" spans="5:8" x14ac:dyDescent="0.25">
      <c r="E2809" t="str">
        <f>""</f>
        <v/>
      </c>
      <c r="F2809" t="str">
        <f>""</f>
        <v/>
      </c>
      <c r="G2809" s="3">
        <v>747.57</v>
      </c>
      <c r="H2809" t="str">
        <f t="shared" si="50"/>
        <v>TEXAS COUNTY &amp; DISTRICT RET</v>
      </c>
    </row>
    <row r="2810" spans="5:8" x14ac:dyDescent="0.25">
      <c r="E2810" t="str">
        <f>""</f>
        <v/>
      </c>
      <c r="F2810" t="str">
        <f>""</f>
        <v/>
      </c>
      <c r="G2810" s="3">
        <v>392.19</v>
      </c>
      <c r="H2810" t="str">
        <f t="shared" si="50"/>
        <v>TEXAS COUNTY &amp; DISTRICT RET</v>
      </c>
    </row>
    <row r="2811" spans="5:8" x14ac:dyDescent="0.25">
      <c r="E2811" t="str">
        <f>""</f>
        <v/>
      </c>
      <c r="F2811" t="str">
        <f>""</f>
        <v/>
      </c>
      <c r="G2811" s="3">
        <v>4804.1099999999997</v>
      </c>
      <c r="H2811" t="str">
        <f t="shared" si="50"/>
        <v>TEXAS COUNTY &amp; DISTRICT RET</v>
      </c>
    </row>
    <row r="2812" spans="5:8" x14ac:dyDescent="0.25">
      <c r="E2812" t="str">
        <f>""</f>
        <v/>
      </c>
      <c r="F2812" t="str">
        <f>""</f>
        <v/>
      </c>
      <c r="G2812" s="3">
        <v>1884.36</v>
      </c>
      <c r="H2812" t="str">
        <f t="shared" si="50"/>
        <v>TEXAS COUNTY &amp; DISTRICT RET</v>
      </c>
    </row>
    <row r="2813" spans="5:8" x14ac:dyDescent="0.25">
      <c r="E2813" t="str">
        <f>""</f>
        <v/>
      </c>
      <c r="F2813" t="str">
        <f>""</f>
        <v/>
      </c>
      <c r="G2813" s="3">
        <v>956.23</v>
      </c>
      <c r="H2813" t="str">
        <f t="shared" si="50"/>
        <v>TEXAS COUNTY &amp; DISTRICT RET</v>
      </c>
    </row>
    <row r="2814" spans="5:8" x14ac:dyDescent="0.25">
      <c r="E2814" t="str">
        <f>""</f>
        <v/>
      </c>
      <c r="F2814" t="str">
        <f>""</f>
        <v/>
      </c>
      <c r="G2814" s="3">
        <v>874</v>
      </c>
      <c r="H2814" t="str">
        <f t="shared" si="50"/>
        <v>TEXAS COUNTY &amp; DISTRICT RET</v>
      </c>
    </row>
    <row r="2815" spans="5:8" x14ac:dyDescent="0.25">
      <c r="E2815" t="str">
        <f>""</f>
        <v/>
      </c>
      <c r="F2815" t="str">
        <f>""</f>
        <v/>
      </c>
      <c r="G2815" s="3">
        <v>2387.58</v>
      </c>
      <c r="H2815" t="str">
        <f t="shared" si="50"/>
        <v>TEXAS COUNTY &amp; DISTRICT RET</v>
      </c>
    </row>
    <row r="2816" spans="5:8" x14ac:dyDescent="0.25">
      <c r="E2816" t="str">
        <f>""</f>
        <v/>
      </c>
      <c r="F2816" t="str">
        <f>""</f>
        <v/>
      </c>
      <c r="G2816" s="3">
        <v>1328.85</v>
      </c>
      <c r="H2816" t="str">
        <f t="shared" si="50"/>
        <v>TEXAS COUNTY &amp; DISTRICT RET</v>
      </c>
    </row>
    <row r="2817" spans="5:8" x14ac:dyDescent="0.25">
      <c r="E2817" t="str">
        <f>""</f>
        <v/>
      </c>
      <c r="F2817" t="str">
        <f>""</f>
        <v/>
      </c>
      <c r="G2817" s="3">
        <v>3229.6</v>
      </c>
      <c r="H2817" t="str">
        <f t="shared" si="50"/>
        <v>TEXAS COUNTY &amp; DISTRICT RET</v>
      </c>
    </row>
    <row r="2818" spans="5:8" x14ac:dyDescent="0.25">
      <c r="E2818" t="str">
        <f>""</f>
        <v/>
      </c>
      <c r="F2818" t="str">
        <f>""</f>
        <v/>
      </c>
      <c r="G2818" s="3">
        <v>2318.54</v>
      </c>
      <c r="H2818" t="str">
        <f t="shared" si="50"/>
        <v>TEXAS COUNTY &amp; DISTRICT RET</v>
      </c>
    </row>
    <row r="2819" spans="5:8" x14ac:dyDescent="0.25">
      <c r="E2819" t="str">
        <f>""</f>
        <v/>
      </c>
      <c r="F2819" t="str">
        <f>""</f>
        <v/>
      </c>
      <c r="G2819" s="3">
        <v>4511.6499999999996</v>
      </c>
      <c r="H2819" t="str">
        <f t="shared" si="50"/>
        <v>TEXAS COUNTY &amp; DISTRICT RET</v>
      </c>
    </row>
    <row r="2820" spans="5:8" x14ac:dyDescent="0.25">
      <c r="E2820" t="str">
        <f>""</f>
        <v/>
      </c>
      <c r="F2820" t="str">
        <f>""</f>
        <v/>
      </c>
      <c r="G2820" s="3">
        <v>245.21</v>
      </c>
      <c r="H2820" t="str">
        <f t="shared" si="50"/>
        <v>TEXAS COUNTY &amp; DISTRICT RET</v>
      </c>
    </row>
    <row r="2821" spans="5:8" x14ac:dyDescent="0.25">
      <c r="E2821" t="str">
        <f>""</f>
        <v/>
      </c>
      <c r="F2821" t="str">
        <f>""</f>
        <v/>
      </c>
      <c r="G2821" s="3">
        <v>245.21</v>
      </c>
      <c r="H2821" t="str">
        <f t="shared" si="50"/>
        <v>TEXAS COUNTY &amp; DISTRICT RET</v>
      </c>
    </row>
    <row r="2822" spans="5:8" x14ac:dyDescent="0.25">
      <c r="E2822" t="str">
        <f>""</f>
        <v/>
      </c>
      <c r="F2822" t="str">
        <f>""</f>
        <v/>
      </c>
      <c r="G2822" s="3">
        <v>245.21</v>
      </c>
      <c r="H2822" t="str">
        <f t="shared" si="50"/>
        <v>TEXAS COUNTY &amp; DISTRICT RET</v>
      </c>
    </row>
    <row r="2823" spans="5:8" x14ac:dyDescent="0.25">
      <c r="E2823" t="str">
        <f>""</f>
        <v/>
      </c>
      <c r="F2823" t="str">
        <f>""</f>
        <v/>
      </c>
      <c r="G2823" s="3">
        <v>245.21</v>
      </c>
      <c r="H2823" t="str">
        <f t="shared" si="50"/>
        <v>TEXAS COUNTY &amp; DISTRICT RET</v>
      </c>
    </row>
    <row r="2824" spans="5:8" x14ac:dyDescent="0.25">
      <c r="E2824" t="str">
        <f>""</f>
        <v/>
      </c>
      <c r="F2824" t="str">
        <f>""</f>
        <v/>
      </c>
      <c r="G2824" s="3">
        <v>23914.1</v>
      </c>
      <c r="H2824" t="str">
        <f t="shared" si="50"/>
        <v>TEXAS COUNTY &amp; DISTRICT RET</v>
      </c>
    </row>
    <row r="2825" spans="5:8" x14ac:dyDescent="0.25">
      <c r="E2825" t="str">
        <f>""</f>
        <v/>
      </c>
      <c r="F2825" t="str">
        <f>""</f>
        <v/>
      </c>
      <c r="G2825" s="3">
        <v>1019.65</v>
      </c>
      <c r="H2825" t="str">
        <f t="shared" si="50"/>
        <v>TEXAS COUNTY &amp; DISTRICT RET</v>
      </c>
    </row>
    <row r="2826" spans="5:8" x14ac:dyDescent="0.25">
      <c r="E2826" t="str">
        <f>""</f>
        <v/>
      </c>
      <c r="F2826" t="str">
        <f>""</f>
        <v/>
      </c>
      <c r="G2826" s="3">
        <v>19413.849999999999</v>
      </c>
      <c r="H2826" t="str">
        <f t="shared" si="50"/>
        <v>TEXAS COUNTY &amp; DISTRICT RET</v>
      </c>
    </row>
    <row r="2827" spans="5:8" x14ac:dyDescent="0.25">
      <c r="E2827" t="str">
        <f>""</f>
        <v/>
      </c>
      <c r="F2827" t="str">
        <f>""</f>
        <v/>
      </c>
      <c r="G2827" s="3">
        <v>2989.06</v>
      </c>
      <c r="H2827" t="str">
        <f t="shared" si="50"/>
        <v>TEXAS COUNTY &amp; DISTRICT RET</v>
      </c>
    </row>
    <row r="2828" spans="5:8" x14ac:dyDescent="0.25">
      <c r="E2828" t="str">
        <f>""</f>
        <v/>
      </c>
      <c r="F2828" t="str">
        <f>""</f>
        <v/>
      </c>
      <c r="G2828" s="3">
        <v>214.81</v>
      </c>
      <c r="H2828" t="str">
        <f t="shared" si="50"/>
        <v>TEXAS COUNTY &amp; DISTRICT RET</v>
      </c>
    </row>
    <row r="2829" spans="5:8" x14ac:dyDescent="0.25">
      <c r="E2829" t="str">
        <f>""</f>
        <v/>
      </c>
      <c r="F2829" t="str">
        <f>""</f>
        <v/>
      </c>
      <c r="G2829" s="3">
        <v>629.32000000000005</v>
      </c>
      <c r="H2829" t="str">
        <f t="shared" si="50"/>
        <v>TEXAS COUNTY &amp; DISTRICT RET</v>
      </c>
    </row>
    <row r="2830" spans="5:8" x14ac:dyDescent="0.25">
      <c r="E2830" t="str">
        <f>""</f>
        <v/>
      </c>
      <c r="F2830" t="str">
        <f>""</f>
        <v/>
      </c>
      <c r="G2830" s="3">
        <v>61.69</v>
      </c>
      <c r="H2830" t="str">
        <f t="shared" si="50"/>
        <v>TEXAS COUNTY &amp; DISTRICT RET</v>
      </c>
    </row>
    <row r="2831" spans="5:8" x14ac:dyDescent="0.25">
      <c r="E2831" t="str">
        <f>""</f>
        <v/>
      </c>
      <c r="F2831" t="str">
        <f>""</f>
        <v/>
      </c>
      <c r="G2831" s="3">
        <v>520.20000000000005</v>
      </c>
      <c r="H2831" t="str">
        <f t="shared" si="50"/>
        <v>TEXAS COUNTY &amp; DISTRICT RET</v>
      </c>
    </row>
    <row r="2832" spans="5:8" x14ac:dyDescent="0.25">
      <c r="E2832" t="str">
        <f>""</f>
        <v/>
      </c>
      <c r="F2832" t="str">
        <f>""</f>
        <v/>
      </c>
      <c r="G2832" s="3">
        <v>203.97</v>
      </c>
      <c r="H2832" t="str">
        <f t="shared" si="50"/>
        <v>TEXAS COUNTY &amp; DISTRICT RET</v>
      </c>
    </row>
    <row r="2833" spans="5:8" x14ac:dyDescent="0.25">
      <c r="E2833" t="str">
        <f>""</f>
        <v/>
      </c>
      <c r="F2833" t="str">
        <f>""</f>
        <v/>
      </c>
      <c r="G2833" s="3">
        <v>1032.98</v>
      </c>
      <c r="H2833" t="str">
        <f t="shared" si="50"/>
        <v>TEXAS COUNTY &amp; DISTRICT RET</v>
      </c>
    </row>
    <row r="2834" spans="5:8" x14ac:dyDescent="0.25">
      <c r="E2834" t="str">
        <f>""</f>
        <v/>
      </c>
      <c r="F2834" t="str">
        <f>""</f>
        <v/>
      </c>
      <c r="G2834" s="3">
        <v>344.39</v>
      </c>
      <c r="H2834" t="str">
        <f t="shared" si="50"/>
        <v>TEXAS COUNTY &amp; DISTRICT RET</v>
      </c>
    </row>
    <row r="2835" spans="5:8" x14ac:dyDescent="0.25">
      <c r="E2835" t="str">
        <f>""</f>
        <v/>
      </c>
      <c r="F2835" t="str">
        <f>""</f>
        <v/>
      </c>
      <c r="G2835" s="3">
        <v>208.67</v>
      </c>
      <c r="H2835" t="str">
        <f t="shared" si="50"/>
        <v>TEXAS COUNTY &amp; DISTRICT RET</v>
      </c>
    </row>
    <row r="2836" spans="5:8" x14ac:dyDescent="0.25">
      <c r="E2836" t="str">
        <f>""</f>
        <v/>
      </c>
      <c r="F2836" t="str">
        <f>""</f>
        <v/>
      </c>
      <c r="G2836" s="3">
        <v>2806.59</v>
      </c>
      <c r="H2836" t="str">
        <f t="shared" si="50"/>
        <v>TEXAS COUNTY &amp; DISTRICT RET</v>
      </c>
    </row>
    <row r="2837" spans="5:8" x14ac:dyDescent="0.25">
      <c r="E2837" t="str">
        <f>""</f>
        <v/>
      </c>
      <c r="F2837" t="str">
        <f>""</f>
        <v/>
      </c>
      <c r="G2837" s="3">
        <v>3118.73</v>
      </c>
      <c r="H2837" t="str">
        <f t="shared" si="50"/>
        <v>TEXAS COUNTY &amp; DISTRICT RET</v>
      </c>
    </row>
    <row r="2838" spans="5:8" x14ac:dyDescent="0.25">
      <c r="E2838" t="str">
        <f>""</f>
        <v/>
      </c>
      <c r="F2838" t="str">
        <f>""</f>
        <v/>
      </c>
      <c r="G2838" s="3">
        <v>3139.94</v>
      </c>
      <c r="H2838" t="str">
        <f t="shared" si="50"/>
        <v>TEXAS COUNTY &amp; DISTRICT RET</v>
      </c>
    </row>
    <row r="2839" spans="5:8" x14ac:dyDescent="0.25">
      <c r="E2839" t="str">
        <f>""</f>
        <v/>
      </c>
      <c r="F2839" t="str">
        <f>""</f>
        <v/>
      </c>
      <c r="G2839" s="3">
        <v>3663.63</v>
      </c>
      <c r="H2839" t="str">
        <f t="shared" si="50"/>
        <v>TEXAS COUNTY &amp; DISTRICT RET</v>
      </c>
    </row>
    <row r="2840" spans="5:8" x14ac:dyDescent="0.25">
      <c r="E2840" t="str">
        <f>""</f>
        <v/>
      </c>
      <c r="F2840" t="str">
        <f>""</f>
        <v/>
      </c>
      <c r="G2840" s="3">
        <v>411.18</v>
      </c>
      <c r="H2840" t="str">
        <f t="shared" si="50"/>
        <v>TEXAS COUNTY &amp; DISTRICT RET</v>
      </c>
    </row>
    <row r="2841" spans="5:8" x14ac:dyDescent="0.25">
      <c r="E2841" t="str">
        <f>""</f>
        <v/>
      </c>
      <c r="F2841" t="str">
        <f>""</f>
        <v/>
      </c>
      <c r="G2841" s="3">
        <v>12.79</v>
      </c>
      <c r="H2841" t="str">
        <f t="shared" si="50"/>
        <v>TEXAS COUNTY &amp; DISTRICT RET</v>
      </c>
    </row>
    <row r="2842" spans="5:8" x14ac:dyDescent="0.25">
      <c r="E2842" t="str">
        <f>""</f>
        <v/>
      </c>
      <c r="F2842" t="str">
        <f>""</f>
        <v/>
      </c>
      <c r="G2842" s="3">
        <v>26.9</v>
      </c>
      <c r="H2842" t="str">
        <f t="shared" si="50"/>
        <v>TEXAS COUNTY &amp; DISTRICT RET</v>
      </c>
    </row>
    <row r="2843" spans="5:8" x14ac:dyDescent="0.25">
      <c r="E2843" t="str">
        <f>""</f>
        <v/>
      </c>
      <c r="F2843" t="str">
        <f>""</f>
        <v/>
      </c>
      <c r="G2843" s="3">
        <v>39.090000000000003</v>
      </c>
      <c r="H2843" t="str">
        <f t="shared" si="50"/>
        <v>TEXAS COUNTY &amp; DISTRICT RET</v>
      </c>
    </row>
    <row r="2844" spans="5:8" x14ac:dyDescent="0.25">
      <c r="E2844" t="str">
        <f>""</f>
        <v/>
      </c>
      <c r="F2844" t="str">
        <f>""</f>
        <v/>
      </c>
      <c r="G2844" s="3">
        <v>648.67999999999995</v>
      </c>
      <c r="H2844" t="str">
        <f t="shared" si="50"/>
        <v>TEXAS COUNTY &amp; DISTRICT RET</v>
      </c>
    </row>
    <row r="2845" spans="5:8" x14ac:dyDescent="0.25">
      <c r="E2845" t="str">
        <f>""</f>
        <v/>
      </c>
      <c r="F2845" t="str">
        <f>""</f>
        <v/>
      </c>
      <c r="G2845" s="3">
        <v>69959.350000000006</v>
      </c>
      <c r="H2845" t="str">
        <f t="shared" si="50"/>
        <v>TEXAS COUNTY &amp; DISTRICT RET</v>
      </c>
    </row>
    <row r="2846" spans="5:8" x14ac:dyDescent="0.25">
      <c r="E2846" t="str">
        <f>"RET202110136442"</f>
        <v>RET202110136442</v>
      </c>
      <c r="F2846" t="str">
        <f>"TEXAS COUNTY  DISTRICT RET"</f>
        <v>TEXAS COUNTY  DISTRICT RET</v>
      </c>
      <c r="G2846" s="3">
        <v>3638.87</v>
      </c>
      <c r="H2846" t="str">
        <f>"TEXAS COUNTY  DISTRICT RET"</f>
        <v>TEXAS COUNTY  DISTRICT RET</v>
      </c>
    </row>
    <row r="2847" spans="5:8" x14ac:dyDescent="0.25">
      <c r="E2847" t="str">
        <f>""</f>
        <v/>
      </c>
      <c r="F2847" t="str">
        <f>""</f>
        <v/>
      </c>
      <c r="G2847" s="3">
        <v>2362.91</v>
      </c>
      <c r="H2847" t="str">
        <f>"TEXAS COUNTY  DISTRICT RET"</f>
        <v>TEXAS COUNTY  DISTRICT RET</v>
      </c>
    </row>
    <row r="2848" spans="5:8" x14ac:dyDescent="0.25">
      <c r="E2848" t="str">
        <f>"RET202110136443"</f>
        <v>RET202110136443</v>
      </c>
      <c r="F2848" t="str">
        <f>"TEXAS COUNTY &amp; DISTRICT RET"</f>
        <v>TEXAS COUNTY &amp; DISTRICT RET</v>
      </c>
      <c r="G2848" s="3">
        <v>4270.49</v>
      </c>
      <c r="H2848" t="str">
        <f t="shared" ref="H2848:H2900" si="51">"TEXAS COUNTY &amp; DISTRICT RET"</f>
        <v>TEXAS COUNTY &amp; DISTRICT RET</v>
      </c>
    </row>
    <row r="2849" spans="5:8" x14ac:dyDescent="0.25">
      <c r="E2849" t="str">
        <f>""</f>
        <v/>
      </c>
      <c r="F2849" t="str">
        <f>""</f>
        <v/>
      </c>
      <c r="G2849" s="3">
        <v>2773.03</v>
      </c>
      <c r="H2849" t="str">
        <f t="shared" si="51"/>
        <v>TEXAS COUNTY &amp; DISTRICT RET</v>
      </c>
    </row>
    <row r="2850" spans="5:8" x14ac:dyDescent="0.25">
      <c r="E2850" t="str">
        <f>"RET202110276652"</f>
        <v>RET202110276652</v>
      </c>
      <c r="F2850" t="str">
        <f>"TEXAS COUNTY &amp; DISTRICT RET"</f>
        <v>TEXAS COUNTY &amp; DISTRICT RET</v>
      </c>
      <c r="G2850" s="3">
        <v>862.1</v>
      </c>
      <c r="H2850" t="str">
        <f t="shared" si="51"/>
        <v>TEXAS COUNTY &amp; DISTRICT RET</v>
      </c>
    </row>
    <row r="2851" spans="5:8" x14ac:dyDescent="0.25">
      <c r="E2851" t="str">
        <f>""</f>
        <v/>
      </c>
      <c r="F2851" t="str">
        <f>""</f>
        <v/>
      </c>
      <c r="G2851" s="3">
        <v>666.52</v>
      </c>
      <c r="H2851" t="str">
        <f t="shared" si="51"/>
        <v>TEXAS COUNTY &amp; DISTRICT RET</v>
      </c>
    </row>
    <row r="2852" spans="5:8" x14ac:dyDescent="0.25">
      <c r="E2852" t="str">
        <f>""</f>
        <v/>
      </c>
      <c r="F2852" t="str">
        <f>""</f>
        <v/>
      </c>
      <c r="G2852" s="3">
        <v>1783.21</v>
      </c>
      <c r="H2852" t="str">
        <f t="shared" si="51"/>
        <v>TEXAS COUNTY &amp; DISTRICT RET</v>
      </c>
    </row>
    <row r="2853" spans="5:8" x14ac:dyDescent="0.25">
      <c r="E2853" t="str">
        <f>""</f>
        <v/>
      </c>
      <c r="F2853" t="str">
        <f>""</f>
        <v/>
      </c>
      <c r="G2853" s="3">
        <v>683.3</v>
      </c>
      <c r="H2853" t="str">
        <f t="shared" si="51"/>
        <v>TEXAS COUNTY &amp; DISTRICT RET</v>
      </c>
    </row>
    <row r="2854" spans="5:8" x14ac:dyDescent="0.25">
      <c r="E2854" t="str">
        <f>""</f>
        <v/>
      </c>
      <c r="F2854" t="str">
        <f>""</f>
        <v/>
      </c>
      <c r="G2854" s="3">
        <v>299.91000000000003</v>
      </c>
      <c r="H2854" t="str">
        <f t="shared" si="51"/>
        <v>TEXAS COUNTY &amp; DISTRICT RET</v>
      </c>
    </row>
    <row r="2855" spans="5:8" x14ac:dyDescent="0.25">
      <c r="E2855" t="str">
        <f>""</f>
        <v/>
      </c>
      <c r="F2855" t="str">
        <f>""</f>
        <v/>
      </c>
      <c r="G2855" s="3">
        <v>1412.83</v>
      </c>
      <c r="H2855" t="str">
        <f t="shared" si="51"/>
        <v>TEXAS COUNTY &amp; DISTRICT RET</v>
      </c>
    </row>
    <row r="2856" spans="5:8" x14ac:dyDescent="0.25">
      <c r="E2856" t="str">
        <f>""</f>
        <v/>
      </c>
      <c r="F2856" t="str">
        <f>""</f>
        <v/>
      </c>
      <c r="G2856" s="3">
        <v>4866.9399999999996</v>
      </c>
      <c r="H2856" t="str">
        <f t="shared" si="51"/>
        <v>TEXAS COUNTY &amp; DISTRICT RET</v>
      </c>
    </row>
    <row r="2857" spans="5:8" x14ac:dyDescent="0.25">
      <c r="E2857" t="str">
        <f>""</f>
        <v/>
      </c>
      <c r="F2857" t="str">
        <f>""</f>
        <v/>
      </c>
      <c r="G2857" s="3">
        <v>1471.37</v>
      </c>
      <c r="H2857" t="str">
        <f t="shared" si="51"/>
        <v>TEXAS COUNTY &amp; DISTRICT RET</v>
      </c>
    </row>
    <row r="2858" spans="5:8" x14ac:dyDescent="0.25">
      <c r="E2858" t="str">
        <f>""</f>
        <v/>
      </c>
      <c r="F2858" t="str">
        <f>""</f>
        <v/>
      </c>
      <c r="G2858" s="3">
        <v>1465.05</v>
      </c>
      <c r="H2858" t="str">
        <f t="shared" si="51"/>
        <v>TEXAS COUNTY &amp; DISTRICT RET</v>
      </c>
    </row>
    <row r="2859" spans="5:8" x14ac:dyDescent="0.25">
      <c r="E2859" t="str">
        <f>""</f>
        <v/>
      </c>
      <c r="F2859" t="str">
        <f>""</f>
        <v/>
      </c>
      <c r="G2859" s="3">
        <v>2806.36</v>
      </c>
      <c r="H2859" t="str">
        <f t="shared" si="51"/>
        <v>TEXAS COUNTY &amp; DISTRICT RET</v>
      </c>
    </row>
    <row r="2860" spans="5:8" x14ac:dyDescent="0.25">
      <c r="E2860" t="str">
        <f>""</f>
        <v/>
      </c>
      <c r="F2860" t="str">
        <f>""</f>
        <v/>
      </c>
      <c r="G2860" s="3">
        <v>783.77</v>
      </c>
      <c r="H2860" t="str">
        <f t="shared" si="51"/>
        <v>TEXAS COUNTY &amp; DISTRICT RET</v>
      </c>
    </row>
    <row r="2861" spans="5:8" x14ac:dyDescent="0.25">
      <c r="E2861" t="str">
        <f>""</f>
        <v/>
      </c>
      <c r="F2861" t="str">
        <f>""</f>
        <v/>
      </c>
      <c r="G2861" s="3">
        <v>811.71</v>
      </c>
      <c r="H2861" t="str">
        <f t="shared" si="51"/>
        <v>TEXAS COUNTY &amp; DISTRICT RET</v>
      </c>
    </row>
    <row r="2862" spans="5:8" x14ac:dyDescent="0.25">
      <c r="E2862" t="str">
        <f>""</f>
        <v/>
      </c>
      <c r="F2862" t="str">
        <f>""</f>
        <v/>
      </c>
      <c r="G2862" s="3">
        <v>714.87</v>
      </c>
      <c r="H2862" t="str">
        <f t="shared" si="51"/>
        <v>TEXAS COUNTY &amp; DISTRICT RET</v>
      </c>
    </row>
    <row r="2863" spans="5:8" x14ac:dyDescent="0.25">
      <c r="E2863" t="str">
        <f>""</f>
        <v/>
      </c>
      <c r="F2863" t="str">
        <f>""</f>
        <v/>
      </c>
      <c r="G2863" s="3">
        <v>718.92</v>
      </c>
      <c r="H2863" t="str">
        <f t="shared" si="51"/>
        <v>TEXAS COUNTY &amp; DISTRICT RET</v>
      </c>
    </row>
    <row r="2864" spans="5:8" x14ac:dyDescent="0.25">
      <c r="E2864" t="str">
        <f>""</f>
        <v/>
      </c>
      <c r="F2864" t="str">
        <f>""</f>
        <v/>
      </c>
      <c r="G2864" s="3">
        <v>391.34</v>
      </c>
      <c r="H2864" t="str">
        <f t="shared" si="51"/>
        <v>TEXAS COUNTY &amp; DISTRICT RET</v>
      </c>
    </row>
    <row r="2865" spans="5:8" x14ac:dyDescent="0.25">
      <c r="E2865" t="str">
        <f>""</f>
        <v/>
      </c>
      <c r="F2865" t="str">
        <f>""</f>
        <v/>
      </c>
      <c r="G2865" s="3">
        <v>4761.4799999999996</v>
      </c>
      <c r="H2865" t="str">
        <f t="shared" si="51"/>
        <v>TEXAS COUNTY &amp; DISTRICT RET</v>
      </c>
    </row>
    <row r="2866" spans="5:8" x14ac:dyDescent="0.25">
      <c r="E2866" t="str">
        <f>""</f>
        <v/>
      </c>
      <c r="F2866" t="str">
        <f>""</f>
        <v/>
      </c>
      <c r="G2866" s="3">
        <v>1947.85</v>
      </c>
      <c r="H2866" t="str">
        <f t="shared" si="51"/>
        <v>TEXAS COUNTY &amp; DISTRICT RET</v>
      </c>
    </row>
    <row r="2867" spans="5:8" x14ac:dyDescent="0.25">
      <c r="E2867" t="str">
        <f>""</f>
        <v/>
      </c>
      <c r="F2867" t="str">
        <f>""</f>
        <v/>
      </c>
      <c r="G2867" s="3">
        <v>938.88</v>
      </c>
      <c r="H2867" t="str">
        <f t="shared" si="51"/>
        <v>TEXAS COUNTY &amp; DISTRICT RET</v>
      </c>
    </row>
    <row r="2868" spans="5:8" x14ac:dyDescent="0.25">
      <c r="E2868" t="str">
        <f>""</f>
        <v/>
      </c>
      <c r="F2868" t="str">
        <f>""</f>
        <v/>
      </c>
      <c r="G2868" s="3">
        <v>858.77</v>
      </c>
      <c r="H2868" t="str">
        <f t="shared" si="51"/>
        <v>TEXAS COUNTY &amp; DISTRICT RET</v>
      </c>
    </row>
    <row r="2869" spans="5:8" x14ac:dyDescent="0.25">
      <c r="E2869" t="str">
        <f>""</f>
        <v/>
      </c>
      <c r="F2869" t="str">
        <f>""</f>
        <v/>
      </c>
      <c r="G2869" s="3">
        <v>2473.52</v>
      </c>
      <c r="H2869" t="str">
        <f t="shared" si="51"/>
        <v>TEXAS COUNTY &amp; DISTRICT RET</v>
      </c>
    </row>
    <row r="2870" spans="5:8" x14ac:dyDescent="0.25">
      <c r="E2870" t="str">
        <f>""</f>
        <v/>
      </c>
      <c r="F2870" t="str">
        <f>""</f>
        <v/>
      </c>
      <c r="G2870" s="3">
        <v>1338.88</v>
      </c>
      <c r="H2870" t="str">
        <f t="shared" si="51"/>
        <v>TEXAS COUNTY &amp; DISTRICT RET</v>
      </c>
    </row>
    <row r="2871" spans="5:8" x14ac:dyDescent="0.25">
      <c r="E2871" t="str">
        <f>""</f>
        <v/>
      </c>
      <c r="F2871" t="str">
        <f>""</f>
        <v/>
      </c>
      <c r="G2871" s="3">
        <v>3156.66</v>
      </c>
      <c r="H2871" t="str">
        <f t="shared" si="51"/>
        <v>TEXAS COUNTY &amp; DISTRICT RET</v>
      </c>
    </row>
    <row r="2872" spans="5:8" x14ac:dyDescent="0.25">
      <c r="E2872" t="str">
        <f>""</f>
        <v/>
      </c>
      <c r="F2872" t="str">
        <f>""</f>
        <v/>
      </c>
      <c r="G2872" s="3">
        <v>2233.96</v>
      </c>
      <c r="H2872" t="str">
        <f t="shared" si="51"/>
        <v>TEXAS COUNTY &amp; DISTRICT RET</v>
      </c>
    </row>
    <row r="2873" spans="5:8" x14ac:dyDescent="0.25">
      <c r="E2873" t="str">
        <f>""</f>
        <v/>
      </c>
      <c r="F2873" t="str">
        <f>""</f>
        <v/>
      </c>
      <c r="G2873" s="3">
        <v>4545.97</v>
      </c>
      <c r="H2873" t="str">
        <f t="shared" si="51"/>
        <v>TEXAS COUNTY &amp; DISTRICT RET</v>
      </c>
    </row>
    <row r="2874" spans="5:8" x14ac:dyDescent="0.25">
      <c r="E2874" t="str">
        <f>""</f>
        <v/>
      </c>
      <c r="F2874" t="str">
        <f>""</f>
        <v/>
      </c>
      <c r="G2874" s="3">
        <v>188.1</v>
      </c>
      <c r="H2874" t="str">
        <f t="shared" si="51"/>
        <v>TEXAS COUNTY &amp; DISTRICT RET</v>
      </c>
    </row>
    <row r="2875" spans="5:8" x14ac:dyDescent="0.25">
      <c r="E2875" t="str">
        <f>""</f>
        <v/>
      </c>
      <c r="F2875" t="str">
        <f>""</f>
        <v/>
      </c>
      <c r="G2875" s="3">
        <v>188.1</v>
      </c>
      <c r="H2875" t="str">
        <f t="shared" si="51"/>
        <v>TEXAS COUNTY &amp; DISTRICT RET</v>
      </c>
    </row>
    <row r="2876" spans="5:8" x14ac:dyDescent="0.25">
      <c r="E2876" t="str">
        <f>""</f>
        <v/>
      </c>
      <c r="F2876" t="str">
        <f>""</f>
        <v/>
      </c>
      <c r="G2876" s="3">
        <v>188.1</v>
      </c>
      <c r="H2876" t="str">
        <f t="shared" si="51"/>
        <v>TEXAS COUNTY &amp; DISTRICT RET</v>
      </c>
    </row>
    <row r="2877" spans="5:8" x14ac:dyDescent="0.25">
      <c r="E2877" t="str">
        <f>""</f>
        <v/>
      </c>
      <c r="F2877" t="str">
        <f>""</f>
        <v/>
      </c>
      <c r="G2877" s="3">
        <v>188.1</v>
      </c>
      <c r="H2877" t="str">
        <f t="shared" si="51"/>
        <v>TEXAS COUNTY &amp; DISTRICT RET</v>
      </c>
    </row>
    <row r="2878" spans="5:8" x14ac:dyDescent="0.25">
      <c r="E2878" t="str">
        <f>""</f>
        <v/>
      </c>
      <c r="F2878" t="str">
        <f>""</f>
        <v/>
      </c>
      <c r="G2878" s="3">
        <v>22806.94</v>
      </c>
      <c r="H2878" t="str">
        <f t="shared" si="51"/>
        <v>TEXAS COUNTY &amp; DISTRICT RET</v>
      </c>
    </row>
    <row r="2879" spans="5:8" x14ac:dyDescent="0.25">
      <c r="E2879" t="str">
        <f>""</f>
        <v/>
      </c>
      <c r="F2879" t="str">
        <f>""</f>
        <v/>
      </c>
      <c r="G2879" s="3">
        <v>930.96</v>
      </c>
      <c r="H2879" t="str">
        <f t="shared" si="51"/>
        <v>TEXAS COUNTY &amp; DISTRICT RET</v>
      </c>
    </row>
    <row r="2880" spans="5:8" x14ac:dyDescent="0.25">
      <c r="E2880" t="str">
        <f>""</f>
        <v/>
      </c>
      <c r="F2880" t="str">
        <f>""</f>
        <v/>
      </c>
      <c r="G2880" s="3">
        <v>19028.03</v>
      </c>
      <c r="H2880" t="str">
        <f t="shared" si="51"/>
        <v>TEXAS COUNTY &amp; DISTRICT RET</v>
      </c>
    </row>
    <row r="2881" spans="5:8" x14ac:dyDescent="0.25">
      <c r="E2881" t="str">
        <f>""</f>
        <v/>
      </c>
      <c r="F2881" t="str">
        <f>""</f>
        <v/>
      </c>
      <c r="G2881" s="3">
        <v>3176.45</v>
      </c>
      <c r="H2881" t="str">
        <f t="shared" si="51"/>
        <v>TEXAS COUNTY &amp; DISTRICT RET</v>
      </c>
    </row>
    <row r="2882" spans="5:8" x14ac:dyDescent="0.25">
      <c r="E2882" t="str">
        <f>""</f>
        <v/>
      </c>
      <c r="F2882" t="str">
        <f>""</f>
        <v/>
      </c>
      <c r="G2882" s="3">
        <v>218.01</v>
      </c>
      <c r="H2882" t="str">
        <f t="shared" si="51"/>
        <v>TEXAS COUNTY &amp; DISTRICT RET</v>
      </c>
    </row>
    <row r="2883" spans="5:8" x14ac:dyDescent="0.25">
      <c r="E2883" t="str">
        <f>""</f>
        <v/>
      </c>
      <c r="F2883" t="str">
        <f>""</f>
        <v/>
      </c>
      <c r="G2883" s="3">
        <v>860.25</v>
      </c>
      <c r="H2883" t="str">
        <f t="shared" si="51"/>
        <v>TEXAS COUNTY &amp; DISTRICT RET</v>
      </c>
    </row>
    <row r="2884" spans="5:8" x14ac:dyDescent="0.25">
      <c r="E2884" t="str">
        <f>""</f>
        <v/>
      </c>
      <c r="F2884" t="str">
        <f>""</f>
        <v/>
      </c>
      <c r="G2884" s="3">
        <v>50.24</v>
      </c>
      <c r="H2884" t="str">
        <f t="shared" si="51"/>
        <v>TEXAS COUNTY &amp; DISTRICT RET</v>
      </c>
    </row>
    <row r="2885" spans="5:8" x14ac:dyDescent="0.25">
      <c r="E2885" t="str">
        <f>""</f>
        <v/>
      </c>
      <c r="F2885" t="str">
        <f>""</f>
        <v/>
      </c>
      <c r="G2885" s="3">
        <v>450.48</v>
      </c>
      <c r="H2885" t="str">
        <f t="shared" si="51"/>
        <v>TEXAS COUNTY &amp; DISTRICT RET</v>
      </c>
    </row>
    <row r="2886" spans="5:8" x14ac:dyDescent="0.25">
      <c r="E2886" t="str">
        <f>""</f>
        <v/>
      </c>
      <c r="F2886" t="str">
        <f>""</f>
        <v/>
      </c>
      <c r="G2886" s="3">
        <v>164.55</v>
      </c>
      <c r="H2886" t="str">
        <f t="shared" si="51"/>
        <v>TEXAS COUNTY &amp; DISTRICT RET</v>
      </c>
    </row>
    <row r="2887" spans="5:8" x14ac:dyDescent="0.25">
      <c r="E2887" t="str">
        <f>""</f>
        <v/>
      </c>
      <c r="F2887" t="str">
        <f>""</f>
        <v/>
      </c>
      <c r="G2887" s="3">
        <v>1044.81</v>
      </c>
      <c r="H2887" t="str">
        <f t="shared" si="51"/>
        <v>TEXAS COUNTY &amp; DISTRICT RET</v>
      </c>
    </row>
    <row r="2888" spans="5:8" x14ac:dyDescent="0.25">
      <c r="E2888" t="str">
        <f>""</f>
        <v/>
      </c>
      <c r="F2888" t="str">
        <f>""</f>
        <v/>
      </c>
      <c r="G2888" s="3">
        <v>351.6</v>
      </c>
      <c r="H2888" t="str">
        <f t="shared" si="51"/>
        <v>TEXAS COUNTY &amp; DISTRICT RET</v>
      </c>
    </row>
    <row r="2889" spans="5:8" x14ac:dyDescent="0.25">
      <c r="E2889" t="str">
        <f>""</f>
        <v/>
      </c>
      <c r="F2889" t="str">
        <f>""</f>
        <v/>
      </c>
      <c r="G2889" s="3">
        <v>210.15</v>
      </c>
      <c r="H2889" t="str">
        <f t="shared" si="51"/>
        <v>TEXAS COUNTY &amp; DISTRICT RET</v>
      </c>
    </row>
    <row r="2890" spans="5:8" x14ac:dyDescent="0.25">
      <c r="E2890" t="str">
        <f>""</f>
        <v/>
      </c>
      <c r="F2890" t="str">
        <f>""</f>
        <v/>
      </c>
      <c r="G2890" s="3">
        <v>2618.7199999999998</v>
      </c>
      <c r="H2890" t="str">
        <f t="shared" si="51"/>
        <v>TEXAS COUNTY &amp; DISTRICT RET</v>
      </c>
    </row>
    <row r="2891" spans="5:8" x14ac:dyDescent="0.25">
      <c r="E2891" t="str">
        <f>""</f>
        <v/>
      </c>
      <c r="F2891" t="str">
        <f>""</f>
        <v/>
      </c>
      <c r="G2891" s="3">
        <v>3055.4</v>
      </c>
      <c r="H2891" t="str">
        <f t="shared" si="51"/>
        <v>TEXAS COUNTY &amp; DISTRICT RET</v>
      </c>
    </row>
    <row r="2892" spans="5:8" x14ac:dyDescent="0.25">
      <c r="E2892" t="str">
        <f>""</f>
        <v/>
      </c>
      <c r="F2892" t="str">
        <f>""</f>
        <v/>
      </c>
      <c r="G2892" s="3">
        <v>3025.05</v>
      </c>
      <c r="H2892" t="str">
        <f t="shared" si="51"/>
        <v>TEXAS COUNTY &amp; DISTRICT RET</v>
      </c>
    </row>
    <row r="2893" spans="5:8" x14ac:dyDescent="0.25">
      <c r="E2893" t="str">
        <f>""</f>
        <v/>
      </c>
      <c r="F2893" t="str">
        <f>""</f>
        <v/>
      </c>
      <c r="G2893" s="3">
        <v>3649.88</v>
      </c>
      <c r="H2893" t="str">
        <f t="shared" si="51"/>
        <v>TEXAS COUNTY &amp; DISTRICT RET</v>
      </c>
    </row>
    <row r="2894" spans="5:8" x14ac:dyDescent="0.25">
      <c r="E2894" t="str">
        <f>""</f>
        <v/>
      </c>
      <c r="F2894" t="str">
        <f>""</f>
        <v/>
      </c>
      <c r="G2894" s="3">
        <v>361.45</v>
      </c>
      <c r="H2894" t="str">
        <f t="shared" si="51"/>
        <v>TEXAS COUNTY &amp; DISTRICT RET</v>
      </c>
    </row>
    <row r="2895" spans="5:8" x14ac:dyDescent="0.25">
      <c r="E2895" t="str">
        <f>""</f>
        <v/>
      </c>
      <c r="F2895" t="str">
        <f>""</f>
        <v/>
      </c>
      <c r="G2895" s="3">
        <v>789.33</v>
      </c>
      <c r="H2895" t="str">
        <f t="shared" si="51"/>
        <v>TEXAS COUNTY &amp; DISTRICT RET</v>
      </c>
    </row>
    <row r="2896" spans="5:8" x14ac:dyDescent="0.25">
      <c r="E2896" t="str">
        <f>""</f>
        <v/>
      </c>
      <c r="F2896" t="str">
        <f>""</f>
        <v/>
      </c>
      <c r="G2896" s="3">
        <v>12.79</v>
      </c>
      <c r="H2896" t="str">
        <f t="shared" si="51"/>
        <v>TEXAS COUNTY &amp; DISTRICT RET</v>
      </c>
    </row>
    <row r="2897" spans="1:8" x14ac:dyDescent="0.25">
      <c r="E2897" t="str">
        <f>""</f>
        <v/>
      </c>
      <c r="F2897" t="str">
        <f>""</f>
        <v/>
      </c>
      <c r="G2897" s="3">
        <v>26.88</v>
      </c>
      <c r="H2897" t="str">
        <f t="shared" si="51"/>
        <v>TEXAS COUNTY &amp; DISTRICT RET</v>
      </c>
    </row>
    <row r="2898" spans="1:8" x14ac:dyDescent="0.25">
      <c r="E2898" t="str">
        <f>""</f>
        <v/>
      </c>
      <c r="F2898" t="str">
        <f>""</f>
        <v/>
      </c>
      <c r="G2898" s="3">
        <v>39.090000000000003</v>
      </c>
      <c r="H2898" t="str">
        <f t="shared" si="51"/>
        <v>TEXAS COUNTY &amp; DISTRICT RET</v>
      </c>
    </row>
    <row r="2899" spans="1:8" x14ac:dyDescent="0.25">
      <c r="E2899" t="str">
        <f>""</f>
        <v/>
      </c>
      <c r="F2899" t="str">
        <f>""</f>
        <v/>
      </c>
      <c r="G2899" s="3">
        <v>653.82000000000005</v>
      </c>
      <c r="H2899" t="str">
        <f t="shared" si="51"/>
        <v>TEXAS COUNTY &amp; DISTRICT RET</v>
      </c>
    </row>
    <row r="2900" spans="1:8" x14ac:dyDescent="0.25">
      <c r="E2900" t="str">
        <f>""</f>
        <v/>
      </c>
      <c r="F2900" t="str">
        <f>""</f>
        <v/>
      </c>
      <c r="G2900" s="3">
        <v>68988.31</v>
      </c>
      <c r="H2900" t="str">
        <f t="shared" si="51"/>
        <v>TEXAS COUNTY &amp; DISTRICT RET</v>
      </c>
    </row>
    <row r="2901" spans="1:8" x14ac:dyDescent="0.25">
      <c r="E2901" t="str">
        <f>"RET202110276653"</f>
        <v>RET202110276653</v>
      </c>
      <c r="F2901" t="str">
        <f>"TEXAS COUNTY  DISTRICT RET"</f>
        <v>TEXAS COUNTY  DISTRICT RET</v>
      </c>
      <c r="G2901" s="3">
        <v>3787.03</v>
      </c>
      <c r="H2901" t="str">
        <f>"TEXAS COUNTY  DISTRICT RET"</f>
        <v>TEXAS COUNTY  DISTRICT RET</v>
      </c>
    </row>
    <row r="2902" spans="1:8" x14ac:dyDescent="0.25">
      <c r="E2902" t="str">
        <f>""</f>
        <v/>
      </c>
      <c r="F2902" t="str">
        <f>""</f>
        <v/>
      </c>
      <c r="G2902" s="3">
        <v>2459.1</v>
      </c>
      <c r="H2902" t="str">
        <f>"TEXAS COUNTY  DISTRICT RET"</f>
        <v>TEXAS COUNTY  DISTRICT RET</v>
      </c>
    </row>
    <row r="2903" spans="1:8" x14ac:dyDescent="0.25">
      <c r="E2903" t="str">
        <f>"RET202110276654"</f>
        <v>RET202110276654</v>
      </c>
      <c r="F2903" t="str">
        <f>"TEXAS COUNTY &amp; DISTRICT RET"</f>
        <v>TEXAS COUNTY &amp; DISTRICT RET</v>
      </c>
      <c r="G2903" s="3">
        <v>4239.88</v>
      </c>
      <c r="H2903" t="str">
        <f>"TEXAS COUNTY &amp; DISTRICT RET"</f>
        <v>TEXAS COUNTY &amp; DISTRICT RET</v>
      </c>
    </row>
    <row r="2904" spans="1:8" x14ac:dyDescent="0.25">
      <c r="E2904" t="str">
        <f>""</f>
        <v/>
      </c>
      <c r="F2904" t="str">
        <f>""</f>
        <v/>
      </c>
      <c r="G2904" s="3">
        <v>2753.16</v>
      </c>
      <c r="H2904" t="str">
        <f>"TEXAS COUNTY &amp; DISTRICT RET"</f>
        <v>TEXAS COUNTY &amp; DISTRICT RET</v>
      </c>
    </row>
    <row r="2905" spans="1:8" x14ac:dyDescent="0.25">
      <c r="A2905" t="s">
        <v>460</v>
      </c>
      <c r="B2905">
        <v>1402</v>
      </c>
      <c r="C2905" s="3">
        <v>196.89</v>
      </c>
      <c r="D2905" s="4">
        <v>44498</v>
      </c>
      <c r="E2905" t="str">
        <f>"RET202110276714"</f>
        <v>RET202110276714</v>
      </c>
      <c r="F2905" t="str">
        <f>"TEXAS COUNTY &amp; DISTRICT RET"</f>
        <v>TEXAS COUNTY &amp; DISTRICT RET</v>
      </c>
      <c r="G2905" s="3">
        <v>119.37</v>
      </c>
      <c r="H2905" t="str">
        <f>"TEXAS COUNTY &amp; DISTRICT RET"</f>
        <v>TEXAS COUNTY &amp; DISTRICT RET</v>
      </c>
    </row>
    <row r="2906" spans="1:8" x14ac:dyDescent="0.25">
      <c r="E2906" t="str">
        <f>""</f>
        <v/>
      </c>
      <c r="F2906" t="str">
        <f>""</f>
        <v/>
      </c>
      <c r="G2906" s="3">
        <v>77.52</v>
      </c>
      <c r="H2906" t="str">
        <f>"TEXAS COUNTY &amp; DISTRICT RET"</f>
        <v>TEXAS COUNTY &amp; DISTRICT RET</v>
      </c>
    </row>
    <row r="2907" spans="1:8" x14ac:dyDescent="0.25">
      <c r="A2907" t="s">
        <v>461</v>
      </c>
      <c r="B2907">
        <v>48501</v>
      </c>
      <c r="C2907" s="3">
        <v>1852</v>
      </c>
      <c r="D2907" s="4">
        <v>44497</v>
      </c>
      <c r="E2907" t="str">
        <f>"LEG202109295920"</f>
        <v>LEG202109295920</v>
      </c>
      <c r="F2907" t="str">
        <f>"TEXAS LEGAL PROTECTION PLAN"</f>
        <v>TEXAS LEGAL PROTECTION PLAN</v>
      </c>
      <c r="G2907" s="3">
        <v>366</v>
      </c>
      <c r="H2907" t="str">
        <f>"TEXAS LEGAL PROTECTION PLAN"</f>
        <v>TEXAS LEGAL PROTECTION PLAN</v>
      </c>
    </row>
    <row r="2908" spans="1:8" x14ac:dyDescent="0.25">
      <c r="E2908" t="str">
        <f>"LEG202110136441"</f>
        <v>LEG202110136441</v>
      </c>
      <c r="F2908" t="str">
        <f>"TEXAS LEGAL PROTECTION PLAN"</f>
        <v>TEXAS LEGAL PROTECTION PLAN</v>
      </c>
      <c r="G2908" s="3">
        <v>366</v>
      </c>
      <c r="H2908" t="str">
        <f>"TEXAS LEGAL PROTECTION PLAN"</f>
        <v>TEXAS LEGAL PROTECTION PLAN</v>
      </c>
    </row>
    <row r="2909" spans="1:8" x14ac:dyDescent="0.25">
      <c r="E2909" t="str">
        <f>"LGF202109295920"</f>
        <v>LGF202109295920</v>
      </c>
      <c r="F2909" t="str">
        <f>"TEXAS LEGAL PROTECTION PLAN"</f>
        <v>TEXAS LEGAL PROTECTION PLAN</v>
      </c>
      <c r="G2909" s="3">
        <v>552</v>
      </c>
      <c r="H2909" t="str">
        <f>"TEXAS LEGAL PROTECTION PLAN"</f>
        <v>TEXAS LEGAL PROTECTION PLAN</v>
      </c>
    </row>
    <row r="2910" spans="1:8" x14ac:dyDescent="0.25">
      <c r="E2910" t="str">
        <f>"LGF202110136441"</f>
        <v>LGF202110136441</v>
      </c>
      <c r="F2910" t="str">
        <f>"TEXAS LEGAL PROTECTION PLAN"</f>
        <v>TEXAS LEGAL PROTECTION PLAN</v>
      </c>
      <c r="G2910" s="3">
        <v>568</v>
      </c>
      <c r="H2910" t="str">
        <f>"TEXAS LEGAL PROTECTION PLAN"</f>
        <v>TEXAS LEGAL PROTECTION PLAN</v>
      </c>
    </row>
    <row r="2911" spans="1:8" ht="15.75" thickBot="1" x14ac:dyDescent="0.3">
      <c r="C2911" s="5">
        <f>SUM(C2:C2910)</f>
        <v>3848094.0500000012</v>
      </c>
      <c r="G2911" s="5">
        <f>SUM(G2:G2910)</f>
        <v>3847494.0499999858</v>
      </c>
    </row>
    <row r="2912" spans="1:8" ht="15.75" thickTop="1" x14ac:dyDescent="0.25">
      <c r="B2912" s="6" t="s">
        <v>462</v>
      </c>
      <c r="C2912" s="3">
        <f>-1178.18-600</f>
        <v>-1778.18</v>
      </c>
    </row>
    <row r="2913" spans="3:3" ht="15.75" thickBot="1" x14ac:dyDescent="0.3">
      <c r="C2913" s="5">
        <f>SUM(C2911:C2912)</f>
        <v>3846315.870000001</v>
      </c>
    </row>
    <row r="2914" spans="3:3" ht="15.75" thickTop="1" x14ac:dyDescent="0.25"/>
  </sheetData>
  <autoFilter ref="A1:H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2021-10-31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2021-11-16T20:41:35Z</dcterms:created>
  <dcterms:modified xsi:type="dcterms:W3CDTF">2021-11-16T20:42:05Z</dcterms:modified>
</cp:coreProperties>
</file>